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80" windowHeight="8715" tabRatio="570" firstSheet="25" activeTab="26"/>
  </bookViews>
  <sheets>
    <sheet name="BDQ moellon" sheetId="26" r:id="rId1"/>
    <sheet name="BDE moellon " sheetId="28" r:id="rId2"/>
    <sheet name="BDQ béton" sheetId="33" r:id="rId3"/>
    <sheet name="FACTURE Mtx" sheetId="43" r:id="rId4"/>
    <sheet name="BDE béton original" sheetId="31" r:id="rId5"/>
    <sheet name="PRIX MATX" sheetId="22" r:id="rId6"/>
    <sheet name="Enduit" sheetId="29" r:id="rId7"/>
    <sheet name="WC" sheetId="35" r:id="rId8"/>
    <sheet name="Longrine béton" sheetId="39" r:id="rId9"/>
    <sheet name="Longrine ferrl" sheetId="40" r:id="rId10"/>
    <sheet name="Longrine" sheetId="37" r:id="rId11"/>
    <sheet name="Dallage" sheetId="38" r:id="rId12"/>
    <sheet name="Semelle isolée+attente poteau" sheetId="36" r:id="rId13"/>
    <sheet name="RESUME FER" sheetId="41" r:id="rId14"/>
    <sheet name="FACT" sheetId="53" r:id="rId15"/>
    <sheet name="POUTRE" sheetId="45" r:id="rId16"/>
    <sheet name="CHENEAU ACCROTERE" sheetId="49" r:id="rId17"/>
    <sheet name="ESCALIER" sheetId="46" r:id="rId18"/>
    <sheet name="Feuil1" sheetId="47" r:id="rId19"/>
    <sheet name="Extension bâtiment REEL" sheetId="54" r:id="rId20"/>
    <sheet name="Extension bâtiment MASERA" sheetId="62" r:id="rId21"/>
    <sheet name="Mtx Extension bâtiment" sheetId="57" r:id="rId22"/>
    <sheet name="Tamboho REEL " sheetId="58" r:id="rId23"/>
    <sheet name="Tamboho MASERA" sheetId="63" r:id="rId24"/>
    <sheet name="Mtx Tamboho" sheetId="59" r:id="rId25"/>
    <sheet name="PUISARD" sheetId="60" r:id="rId26"/>
    <sheet name="Tamboho ANTSIRABE" sheetId="64" r:id="rId27"/>
    <sheet name="Mtx Tamboho ANTSIRABE" sheetId="66" r:id="rId28"/>
    <sheet name="METRE ANTSIRABE" sheetId="65" r:id="rId29"/>
    <sheet name="SDP" sheetId="67" r:id="rId30"/>
  </sheets>
  <definedNames>
    <definedName name="_xlnm._FilterDatabase" localSheetId="2" hidden="1">'BDQ béton'!$A$1:$I$396</definedName>
    <definedName name="_xlnm._FilterDatabase" localSheetId="0" hidden="1">'BDQ moellon'!$A$19:$I$83</definedName>
    <definedName name="_xlnm._FilterDatabase" localSheetId="25" hidden="1">PUISARD!$A$1:$I$44</definedName>
  </definedNames>
  <calcPr calcId="124519"/>
</workbook>
</file>

<file path=xl/calcChain.xml><?xml version="1.0" encoding="utf-8"?>
<calcChain xmlns="http://schemas.openxmlformats.org/spreadsheetml/2006/main">
  <c r="F26" i="64"/>
  <c r="F25"/>
  <c r="D26"/>
  <c r="D25"/>
  <c r="D18"/>
  <c r="D17"/>
  <c r="D16"/>
  <c r="D15"/>
  <c r="D14"/>
  <c r="D7"/>
  <c r="D13"/>
  <c r="E48" i="67"/>
  <c r="E92"/>
  <c r="E91"/>
  <c r="E90"/>
  <c r="E89"/>
  <c r="E88"/>
  <c r="E87"/>
  <c r="E94" s="1"/>
  <c r="E95" s="1"/>
  <c r="E79"/>
  <c r="E78"/>
  <c r="E77"/>
  <c r="E76"/>
  <c r="E75"/>
  <c r="E74"/>
  <c r="E81" s="1"/>
  <c r="E82" s="1"/>
  <c r="E66"/>
  <c r="E65"/>
  <c r="E64"/>
  <c r="E63"/>
  <c r="E62"/>
  <c r="E61"/>
  <c r="E60"/>
  <c r="E68" s="1"/>
  <c r="E69" s="1"/>
  <c r="F18" i="64" s="1"/>
  <c r="E52" i="67"/>
  <c r="E51"/>
  <c r="E50"/>
  <c r="E49"/>
  <c r="E47"/>
  <c r="E46"/>
  <c r="E45"/>
  <c r="E54" s="1"/>
  <c r="E55" s="1"/>
  <c r="E37"/>
  <c r="E36"/>
  <c r="E35"/>
  <c r="E34"/>
  <c r="E33"/>
  <c r="E32"/>
  <c r="E31"/>
  <c r="E39" s="1"/>
  <c r="E40" s="1"/>
  <c r="E23"/>
  <c r="E22"/>
  <c r="E21"/>
  <c r="E20"/>
  <c r="E19"/>
  <c r="E18"/>
  <c r="E17"/>
  <c r="E25" s="1"/>
  <c r="E26" s="1"/>
  <c r="E4"/>
  <c r="E5"/>
  <c r="E3"/>
  <c r="E7"/>
  <c r="E8"/>
  <c r="E9"/>
  <c r="E6"/>
  <c r="E11" s="1"/>
  <c r="E12" s="1"/>
  <c r="F18" i="66"/>
  <c r="F17"/>
  <c r="F16"/>
  <c r="F15"/>
  <c r="F14"/>
  <c r="F13"/>
  <c r="F12"/>
  <c r="F11"/>
  <c r="F10"/>
  <c r="F9"/>
  <c r="F8"/>
  <c r="F7"/>
  <c r="F6"/>
  <c r="F5"/>
  <c r="F19"/>
  <c r="F21" s="1"/>
  <c r="F13" i="65"/>
  <c r="F37"/>
  <c r="F36"/>
  <c r="H37" s="1"/>
  <c r="F16" i="64" s="1"/>
  <c r="F33" i="65"/>
  <c r="F32"/>
  <c r="H33" s="1"/>
  <c r="F29"/>
  <c r="F26"/>
  <c r="F23"/>
  <c r="F20"/>
  <c r="F10"/>
  <c r="F17" i="64" s="1"/>
  <c r="F17" i="65"/>
  <c r="F7"/>
  <c r="F13" i="64" s="1"/>
  <c r="F4" i="65"/>
  <c r="F7" i="64" s="1"/>
  <c r="F8" s="1"/>
  <c r="F31" s="1"/>
  <c r="A33"/>
  <c r="A31"/>
  <c r="F167" i="31"/>
  <c r="F165"/>
  <c r="F163"/>
  <c r="F27" i="64" l="1"/>
  <c r="F33" s="1"/>
  <c r="F20" i="66"/>
  <c r="H26" i="65"/>
  <c r="F5" i="59"/>
  <c r="F23" i="66" l="1"/>
  <c r="F14" i="64"/>
  <c r="F40" i="65"/>
  <c r="F15" i="64" s="1"/>
  <c r="D15" i="63"/>
  <c r="A33"/>
  <c r="A32"/>
  <c r="A31"/>
  <c r="F26"/>
  <c r="F25"/>
  <c r="F27" s="1"/>
  <c r="F33" s="1"/>
  <c r="F18"/>
  <c r="F17"/>
  <c r="F16"/>
  <c r="F15"/>
  <c r="F14"/>
  <c r="F13"/>
  <c r="F19" s="1"/>
  <c r="F32" s="1"/>
  <c r="F7"/>
  <c r="F8" s="1"/>
  <c r="F31" s="1"/>
  <c r="F35" s="1"/>
  <c r="D15" i="58"/>
  <c r="A106" i="62"/>
  <c r="A105"/>
  <c r="A104"/>
  <c r="A103"/>
  <c r="A102"/>
  <c r="A101"/>
  <c r="A100"/>
  <c r="A99"/>
  <c r="A98"/>
  <c r="A97"/>
  <c r="F92"/>
  <c r="F93" s="1"/>
  <c r="F106" s="1"/>
  <c r="F86"/>
  <c r="F87" s="1"/>
  <c r="F105" s="1"/>
  <c r="F76"/>
  <c r="F75"/>
  <c r="F74"/>
  <c r="F73"/>
  <c r="F72"/>
  <c r="F77" s="1"/>
  <c r="F104" s="1"/>
  <c r="F66"/>
  <c r="F67" s="1"/>
  <c r="F103" s="1"/>
  <c r="F60"/>
  <c r="F59"/>
  <c r="F58"/>
  <c r="F61" s="1"/>
  <c r="F102" s="1"/>
  <c r="F57"/>
  <c r="F51"/>
  <c r="F50"/>
  <c r="F49"/>
  <c r="F48"/>
  <c r="F47"/>
  <c r="F46"/>
  <c r="F52" s="1"/>
  <c r="F101" s="1"/>
  <c r="F37"/>
  <c r="F36"/>
  <c r="F38" s="1"/>
  <c r="F100" s="1"/>
  <c r="F30"/>
  <c r="F29"/>
  <c r="F31" s="1"/>
  <c r="F99" s="1"/>
  <c r="F22"/>
  <c r="F21"/>
  <c r="F20"/>
  <c r="F19"/>
  <c r="D18"/>
  <c r="F18" s="1"/>
  <c r="F17"/>
  <c r="F16"/>
  <c r="F15"/>
  <c r="F14"/>
  <c r="F23" s="1"/>
  <c r="F98" s="1"/>
  <c r="F8"/>
  <c r="F7"/>
  <c r="F9" s="1"/>
  <c r="F97" s="1"/>
  <c r="F108" s="1"/>
  <c r="D18" i="54"/>
  <c r="F22"/>
  <c r="F21"/>
  <c r="F59"/>
  <c r="F57"/>
  <c r="I19" i="60"/>
  <c r="I18"/>
  <c r="I17"/>
  <c r="I16"/>
  <c r="I14"/>
  <c r="I13"/>
  <c r="I12"/>
  <c r="I11"/>
  <c r="I10"/>
  <c r="I9"/>
  <c r="I15"/>
  <c r="F23" i="57"/>
  <c r="F37"/>
  <c r="F19" i="64" l="1"/>
  <c r="F32" s="1"/>
  <c r="F35" s="1"/>
  <c r="I20" i="60"/>
  <c r="F15" i="59"/>
  <c r="F19" s="1"/>
  <c r="F18"/>
  <c r="F17"/>
  <c r="F16"/>
  <c r="F14"/>
  <c r="F13"/>
  <c r="F12"/>
  <c r="F11"/>
  <c r="F10"/>
  <c r="F9"/>
  <c r="F8"/>
  <c r="F7"/>
  <c r="F6"/>
  <c r="F4"/>
  <c r="F23"/>
  <c r="F25" s="1"/>
  <c r="F5" i="57"/>
  <c r="F6"/>
  <c r="F7"/>
  <c r="F8"/>
  <c r="F9"/>
  <c r="F10"/>
  <c r="F11"/>
  <c r="F12"/>
  <c r="F13"/>
  <c r="F14"/>
  <c r="F15"/>
  <c r="F16"/>
  <c r="F17"/>
  <c r="F18"/>
  <c r="F19"/>
  <c r="F20"/>
  <c r="F21"/>
  <c r="F22"/>
  <c r="F24"/>
  <c r="F25"/>
  <c r="F26"/>
  <c r="F27"/>
  <c r="F28"/>
  <c r="F29"/>
  <c r="F30"/>
  <c r="F31"/>
  <c r="F32"/>
  <c r="F33"/>
  <c r="F34"/>
  <c r="F35"/>
  <c r="F36"/>
  <c r="F38"/>
  <c r="F39"/>
  <c r="F40"/>
  <c r="F41"/>
  <c r="F42"/>
  <c r="F43"/>
  <c r="F44"/>
  <c r="F45"/>
  <c r="F46"/>
  <c r="F47"/>
  <c r="F48"/>
  <c r="F4"/>
  <c r="F49" s="1"/>
  <c r="F53" s="1"/>
  <c r="F55" s="1"/>
  <c r="A33" i="58"/>
  <c r="A32"/>
  <c r="A31"/>
  <c r="F26"/>
  <c r="F25"/>
  <c r="F27" s="1"/>
  <c r="F33" s="1"/>
  <c r="F18"/>
  <c r="F17"/>
  <c r="F16"/>
  <c r="F15"/>
  <c r="F14"/>
  <c r="F13"/>
  <c r="F19" s="1"/>
  <c r="F32" s="1"/>
  <c r="F7"/>
  <c r="F8"/>
  <c r="F31" s="1"/>
  <c r="F35" s="1"/>
  <c r="F92" i="54"/>
  <c r="F47"/>
  <c r="F20"/>
  <c r="A106"/>
  <c r="A105"/>
  <c r="A104"/>
  <c r="A103"/>
  <c r="A102"/>
  <c r="A101"/>
  <c r="A100"/>
  <c r="A99"/>
  <c r="A98"/>
  <c r="A97"/>
  <c r="F93"/>
  <c r="F106" s="1"/>
  <c r="F86"/>
  <c r="F87" s="1"/>
  <c r="F105" s="1"/>
  <c r="F76"/>
  <c r="F75"/>
  <c r="F74"/>
  <c r="F73"/>
  <c r="F72"/>
  <c r="F77" s="1"/>
  <c r="F104" s="1"/>
  <c r="F66"/>
  <c r="F67"/>
  <c r="F103" s="1"/>
  <c r="F60"/>
  <c r="F58"/>
  <c r="F61"/>
  <c r="F51"/>
  <c r="F50"/>
  <c r="F49"/>
  <c r="F48"/>
  <c r="F46"/>
  <c r="F52" s="1"/>
  <c r="F101" s="1"/>
  <c r="F37"/>
  <c r="F36"/>
  <c r="F38"/>
  <c r="F100" s="1"/>
  <c r="F30"/>
  <c r="F29"/>
  <c r="F31" s="1"/>
  <c r="F99" s="1"/>
  <c r="F19"/>
  <c r="F18"/>
  <c r="F17"/>
  <c r="F16"/>
  <c r="F15"/>
  <c r="F14"/>
  <c r="F8"/>
  <c r="F7"/>
  <c r="F9" s="1"/>
  <c r="F97" s="1"/>
  <c r="F24" i="66" l="1"/>
  <c r="F25" s="1"/>
  <c r="F23" i="54"/>
  <c r="F98" s="1"/>
  <c r="F102"/>
  <c r="F108"/>
  <c r="O15" i="53"/>
  <c r="O20" s="1"/>
  <c r="G58"/>
  <c r="G59" s="1"/>
  <c r="G55"/>
  <c r="G53"/>
  <c r="F52"/>
  <c r="G52" s="1"/>
  <c r="G51"/>
  <c r="F48"/>
  <c r="G48" s="1"/>
  <c r="F47"/>
  <c r="G47" s="1"/>
  <c r="F46"/>
  <c r="G46" s="1"/>
  <c r="F45"/>
  <c r="G45" s="1"/>
  <c r="G44"/>
  <c r="F43"/>
  <c r="G43" s="1"/>
  <c r="F42"/>
  <c r="G42" s="1"/>
  <c r="F41"/>
  <c r="G41" s="1"/>
  <c r="F40"/>
  <c r="G40" s="1"/>
  <c r="F39"/>
  <c r="G39" s="1"/>
  <c r="F37"/>
  <c r="G37" s="1"/>
  <c r="F36"/>
  <c r="G36" s="1"/>
  <c r="G30"/>
  <c r="F28"/>
  <c r="F49" s="1"/>
  <c r="G49" s="1"/>
  <c r="F27"/>
  <c r="G27" s="1"/>
  <c r="G26"/>
  <c r="G25"/>
  <c r="L24"/>
  <c r="G24"/>
  <c r="L23"/>
  <c r="L25" s="1"/>
  <c r="G23"/>
  <c r="G20"/>
  <c r="L19"/>
  <c r="G19"/>
  <c r="L18"/>
  <c r="G18"/>
  <c r="L17"/>
  <c r="G17"/>
  <c r="L16"/>
  <c r="G16"/>
  <c r="L15"/>
  <c r="F15"/>
  <c r="G15" s="1"/>
  <c r="L14"/>
  <c r="F14"/>
  <c r="G14" s="1"/>
  <c r="L13"/>
  <c r="G13"/>
  <c r="L12"/>
  <c r="J11"/>
  <c r="L11" s="1"/>
  <c r="F11"/>
  <c r="G11" s="1"/>
  <c r="J10"/>
  <c r="L10" s="1"/>
  <c r="F10"/>
  <c r="F38" s="1"/>
  <c r="G38" s="1"/>
  <c r="J9"/>
  <c r="L9" s="1"/>
  <c r="F9"/>
  <c r="G9" s="1"/>
  <c r="J8"/>
  <c r="L8" s="1"/>
  <c r="F8"/>
  <c r="G8" s="1"/>
  <c r="J7"/>
  <c r="L7" s="1"/>
  <c r="J6"/>
  <c r="L6" s="1"/>
  <c r="G6"/>
  <c r="L5"/>
  <c r="J3"/>
  <c r="L3" s="1"/>
  <c r="G3"/>
  <c r="J2"/>
  <c r="L2" s="1"/>
  <c r="L20" s="1"/>
  <c r="L27" s="1"/>
  <c r="G2"/>
  <c r="F36" i="43"/>
  <c r="G36"/>
  <c r="F37"/>
  <c r="G37"/>
  <c r="F38"/>
  <c r="G38"/>
  <c r="F39"/>
  <c r="G39"/>
  <c r="F40"/>
  <c r="G40"/>
  <c r="F41"/>
  <c r="G41"/>
  <c r="F42"/>
  <c r="G42"/>
  <c r="F43"/>
  <c r="G43"/>
  <c r="G44"/>
  <c r="F45"/>
  <c r="G45"/>
  <c r="F46"/>
  <c r="G46"/>
  <c r="F47"/>
  <c r="G47"/>
  <c r="F48"/>
  <c r="G48"/>
  <c r="F49"/>
  <c r="G49"/>
  <c r="G51"/>
  <c r="F52"/>
  <c r="G52"/>
  <c r="G53"/>
  <c r="G55"/>
  <c r="G56"/>
  <c r="G58"/>
  <c r="G59"/>
  <c r="J2"/>
  <c r="J3"/>
  <c r="J4"/>
  <c r="J6"/>
  <c r="J7"/>
  <c r="J8"/>
  <c r="J9"/>
  <c r="J10"/>
  <c r="J11"/>
  <c r="J12"/>
  <c r="J13"/>
  <c r="L5"/>
  <c r="L14"/>
  <c r="L15"/>
  <c r="L16"/>
  <c r="L17"/>
  <c r="L18"/>
  <c r="L19"/>
  <c r="L23"/>
  <c r="L24"/>
  <c r="K4" i="49"/>
  <c r="K5"/>
  <c r="K6"/>
  <c r="K7"/>
  <c r="K8"/>
  <c r="K9"/>
  <c r="K10"/>
  <c r="K11"/>
  <c r="K12"/>
  <c r="K13"/>
  <c r="K14"/>
  <c r="K15"/>
  <c r="K16"/>
  <c r="K17"/>
  <c r="K18"/>
  <c r="K19"/>
  <c r="E4"/>
  <c r="E5"/>
  <c r="E6"/>
  <c r="E7"/>
  <c r="E8"/>
  <c r="E9"/>
  <c r="E10"/>
  <c r="E11"/>
  <c r="E12"/>
  <c r="E13"/>
  <c r="E14"/>
  <c r="E15"/>
  <c r="E16"/>
  <c r="E17"/>
  <c r="E18"/>
  <c r="E19"/>
  <c r="AC14"/>
  <c r="W14"/>
  <c r="AC13"/>
  <c r="W13"/>
  <c r="Q13"/>
  <c r="AC12"/>
  <c r="W12"/>
  <c r="Q12"/>
  <c r="AC11"/>
  <c r="W11"/>
  <c r="Q11"/>
  <c r="AC10"/>
  <c r="W10"/>
  <c r="Q10"/>
  <c r="AC9"/>
  <c r="AC21" s="1"/>
  <c r="AC23" s="1"/>
  <c r="AC24" s="1"/>
  <c r="W9"/>
  <c r="Q9"/>
  <c r="W8"/>
  <c r="Q8"/>
  <c r="W7"/>
  <c r="Q7"/>
  <c r="W6"/>
  <c r="Q6"/>
  <c r="W5"/>
  <c r="Q5"/>
  <c r="W4"/>
  <c r="W21" s="1"/>
  <c r="W23" s="1"/>
  <c r="W24" s="1"/>
  <c r="Q4"/>
  <c r="Q21" s="1"/>
  <c r="Q23" s="1"/>
  <c r="Q24" s="1"/>
  <c r="K21"/>
  <c r="K23" s="1"/>
  <c r="K24" s="1"/>
  <c r="E21"/>
  <c r="E23" s="1"/>
  <c r="E24" s="1"/>
  <c r="L13" i="43"/>
  <c r="L12"/>
  <c r="L11"/>
  <c r="L10"/>
  <c r="L9"/>
  <c r="L8"/>
  <c r="L7"/>
  <c r="L6"/>
  <c r="L4"/>
  <c r="L3"/>
  <c r="L2"/>
  <c r="L20" s="1"/>
  <c r="E20" i="38"/>
  <c r="G3" i="47"/>
  <c r="G4"/>
  <c r="G5"/>
  <c r="G6"/>
  <c r="G2"/>
  <c r="AD20" i="46"/>
  <c r="AD19"/>
  <c r="AD18"/>
  <c r="AD17"/>
  <c r="AD15"/>
  <c r="AD16"/>
  <c r="AD14"/>
  <c r="AD22" s="1"/>
  <c r="K19"/>
  <c r="K18"/>
  <c r="K17"/>
  <c r="K20"/>
  <c r="K16"/>
  <c r="E16"/>
  <c r="K15"/>
  <c r="E15"/>
  <c r="W14"/>
  <c r="K14"/>
  <c r="E14"/>
  <c r="W13"/>
  <c r="Q13"/>
  <c r="K13"/>
  <c r="E13"/>
  <c r="W12"/>
  <c r="Q12"/>
  <c r="K12"/>
  <c r="E12"/>
  <c r="W11"/>
  <c r="Q11"/>
  <c r="K11"/>
  <c r="E11"/>
  <c r="W10"/>
  <c r="Q10"/>
  <c r="K10"/>
  <c r="E10"/>
  <c r="W9"/>
  <c r="Q9"/>
  <c r="K9"/>
  <c r="E9"/>
  <c r="W8"/>
  <c r="Q8"/>
  <c r="K8"/>
  <c r="E8"/>
  <c r="W7"/>
  <c r="Q7"/>
  <c r="K7"/>
  <c r="E7"/>
  <c r="W6"/>
  <c r="Q6"/>
  <c r="K6"/>
  <c r="E6"/>
  <c r="W5"/>
  <c r="Q5"/>
  <c r="K5"/>
  <c r="E5"/>
  <c r="W4"/>
  <c r="W22" s="1"/>
  <c r="W24" s="1"/>
  <c r="W25" s="1"/>
  <c r="Q4"/>
  <c r="Q22" s="1"/>
  <c r="Q24" s="1"/>
  <c r="Q25" s="1"/>
  <c r="K4"/>
  <c r="E4"/>
  <c r="E26" i="45"/>
  <c r="E25"/>
  <c r="E24"/>
  <c r="E23"/>
  <c r="E22"/>
  <c r="E21"/>
  <c r="E20"/>
  <c r="K19"/>
  <c r="E19"/>
  <c r="K18"/>
  <c r="E18"/>
  <c r="K17"/>
  <c r="E17"/>
  <c r="K16"/>
  <c r="E16"/>
  <c r="K15"/>
  <c r="E15"/>
  <c r="AC14"/>
  <c r="W14"/>
  <c r="K14"/>
  <c r="E14"/>
  <c r="AC13"/>
  <c r="W13"/>
  <c r="Q13"/>
  <c r="K13"/>
  <c r="E13"/>
  <c r="AC12"/>
  <c r="W12"/>
  <c r="Q12"/>
  <c r="K12"/>
  <c r="E12"/>
  <c r="AC11"/>
  <c r="W11"/>
  <c r="Q11"/>
  <c r="K11"/>
  <c r="E11"/>
  <c r="AC10"/>
  <c r="AC28" s="1"/>
  <c r="AC30" s="1"/>
  <c r="AC31" s="1"/>
  <c r="W10"/>
  <c r="Q10"/>
  <c r="K10"/>
  <c r="E10"/>
  <c r="AC9"/>
  <c r="W9"/>
  <c r="Q9"/>
  <c r="K9"/>
  <c r="E9"/>
  <c r="W8"/>
  <c r="Q8"/>
  <c r="K8"/>
  <c r="E8"/>
  <c r="W7"/>
  <c r="Q7"/>
  <c r="K7"/>
  <c r="E7"/>
  <c r="W6"/>
  <c r="Q6"/>
  <c r="K6"/>
  <c r="E6"/>
  <c r="W5"/>
  <c r="Q5"/>
  <c r="K5"/>
  <c r="E5"/>
  <c r="W4"/>
  <c r="Q4"/>
  <c r="Q28" s="1"/>
  <c r="Q30" s="1"/>
  <c r="Q31" s="1"/>
  <c r="K4"/>
  <c r="E4"/>
  <c r="G30" i="43"/>
  <c r="G3"/>
  <c r="G6"/>
  <c r="G13"/>
  <c r="G16"/>
  <c r="G17"/>
  <c r="G18"/>
  <c r="G19"/>
  <c r="G20"/>
  <c r="G23"/>
  <c r="G24"/>
  <c r="G25"/>
  <c r="G26"/>
  <c r="G2"/>
  <c r="F28"/>
  <c r="F27"/>
  <c r="G27" s="1"/>
  <c r="F11"/>
  <c r="G11" s="1"/>
  <c r="F15"/>
  <c r="G15" s="1"/>
  <c r="F14"/>
  <c r="G14" s="1"/>
  <c r="F10"/>
  <c r="F9"/>
  <c r="G9" s="1"/>
  <c r="F8"/>
  <c r="G8" s="1"/>
  <c r="I298" i="33"/>
  <c r="I307"/>
  <c r="I295"/>
  <c r="G309"/>
  <c r="I309" s="1"/>
  <c r="G308"/>
  <c r="I308" s="1"/>
  <c r="G307"/>
  <c r="G306"/>
  <c r="I306" s="1"/>
  <c r="G305"/>
  <c r="I305" s="1"/>
  <c r="G304"/>
  <c r="I304" s="1"/>
  <c r="G298"/>
  <c r="G297"/>
  <c r="I297" s="1"/>
  <c r="G296"/>
  <c r="I296" s="1"/>
  <c r="G295"/>
  <c r="H58"/>
  <c r="H233" s="1"/>
  <c r="I233" s="1"/>
  <c r="D4" i="41"/>
  <c r="E5"/>
  <c r="B5"/>
  <c r="F7"/>
  <c r="F8" s="1"/>
  <c r="E7"/>
  <c r="E8" s="1"/>
  <c r="D7"/>
  <c r="C7"/>
  <c r="C8" s="1"/>
  <c r="B7"/>
  <c r="B6"/>
  <c r="I17" i="39"/>
  <c r="I19" s="1"/>
  <c r="H17"/>
  <c r="H19" s="1"/>
  <c r="G17"/>
  <c r="G19" s="1"/>
  <c r="F17"/>
  <c r="F19" s="1"/>
  <c r="E17"/>
  <c r="E19" s="1"/>
  <c r="D17"/>
  <c r="D19" s="1"/>
  <c r="C17"/>
  <c r="C19" s="1"/>
  <c r="B17"/>
  <c r="B19" s="1"/>
  <c r="J19" s="1"/>
  <c r="I6"/>
  <c r="I8" s="1"/>
  <c r="H6"/>
  <c r="H8" s="1"/>
  <c r="G6"/>
  <c r="G8" s="1"/>
  <c r="F6"/>
  <c r="F8" s="1"/>
  <c r="E6"/>
  <c r="E8" s="1"/>
  <c r="D6"/>
  <c r="D8" s="1"/>
  <c r="C6"/>
  <c r="C8" s="1"/>
  <c r="B6"/>
  <c r="B8" s="1"/>
  <c r="J8" s="1"/>
  <c r="G108" i="33"/>
  <c r="H104"/>
  <c r="I104" s="1"/>
  <c r="D4" i="38"/>
  <c r="D19" s="1"/>
  <c r="D20" s="1"/>
  <c r="D18"/>
  <c r="D5"/>
  <c r="D6"/>
  <c r="D7"/>
  <c r="D8"/>
  <c r="D9"/>
  <c r="D10"/>
  <c r="D11"/>
  <c r="D12"/>
  <c r="D13"/>
  <c r="D14"/>
  <c r="D15"/>
  <c r="D16"/>
  <c r="D17"/>
  <c r="E48" i="37"/>
  <c r="E47"/>
  <c r="E46"/>
  <c r="E45"/>
  <c r="E44"/>
  <c r="E43"/>
  <c r="E42"/>
  <c r="E41"/>
  <c r="E40"/>
  <c r="E39"/>
  <c r="H28" s="1"/>
  <c r="K28" s="1"/>
  <c r="L28" s="1"/>
  <c r="E38"/>
  <c r="E37"/>
  <c r="E36"/>
  <c r="E35"/>
  <c r="E34"/>
  <c r="E33"/>
  <c r="E32"/>
  <c r="E31"/>
  <c r="H26" s="1"/>
  <c r="K26" s="1"/>
  <c r="L26" s="1"/>
  <c r="E30"/>
  <c r="P29"/>
  <c r="E29"/>
  <c r="P28"/>
  <c r="E28"/>
  <c r="P27"/>
  <c r="H27"/>
  <c r="K27" s="1"/>
  <c r="L27" s="1"/>
  <c r="E27"/>
  <c r="P26"/>
  <c r="E26"/>
  <c r="E25"/>
  <c r="I6"/>
  <c r="I8" s="1"/>
  <c r="H6"/>
  <c r="H8" s="1"/>
  <c r="G6"/>
  <c r="G8" s="1"/>
  <c r="F6"/>
  <c r="F8" s="1"/>
  <c r="E6"/>
  <c r="E8" s="1"/>
  <c r="D6"/>
  <c r="D8" s="1"/>
  <c r="C6"/>
  <c r="C8" s="1"/>
  <c r="B6"/>
  <c r="B8" s="1"/>
  <c r="I17"/>
  <c r="I19" s="1"/>
  <c r="H17"/>
  <c r="H19" s="1"/>
  <c r="G17"/>
  <c r="G19" s="1"/>
  <c r="F17"/>
  <c r="F19" s="1"/>
  <c r="E17"/>
  <c r="E19" s="1"/>
  <c r="D17"/>
  <c r="D19" s="1"/>
  <c r="C17"/>
  <c r="C19" s="1"/>
  <c r="B17"/>
  <c r="B19" s="1"/>
  <c r="K29" i="36"/>
  <c r="K31" s="1"/>
  <c r="J29"/>
  <c r="J31" s="1"/>
  <c r="I29"/>
  <c r="I31" s="1"/>
  <c r="G29"/>
  <c r="H29" s="1"/>
  <c r="H31" s="1"/>
  <c r="F29"/>
  <c r="F31" s="1"/>
  <c r="E29"/>
  <c r="E31" s="1"/>
  <c r="D29"/>
  <c r="D31" s="1"/>
  <c r="B29"/>
  <c r="C29" s="1"/>
  <c r="C31" s="1"/>
  <c r="Q59"/>
  <c r="R59" s="1"/>
  <c r="G55"/>
  <c r="H56" s="1"/>
  <c r="I56" s="1"/>
  <c r="B55"/>
  <c r="C56" s="1"/>
  <c r="D56" s="1"/>
  <c r="C43"/>
  <c r="C44" s="1"/>
  <c r="D43"/>
  <c r="D44" s="1"/>
  <c r="E43"/>
  <c r="E44" s="1"/>
  <c r="F43"/>
  <c r="F44" s="1"/>
  <c r="G43"/>
  <c r="G44" s="1"/>
  <c r="H43"/>
  <c r="H44" s="1"/>
  <c r="I43"/>
  <c r="I44" s="1"/>
  <c r="J43"/>
  <c r="J44" s="1"/>
  <c r="K43"/>
  <c r="K44" s="1"/>
  <c r="B43"/>
  <c r="B44" s="1"/>
  <c r="C40"/>
  <c r="D40"/>
  <c r="E40"/>
  <c r="F40"/>
  <c r="G40"/>
  <c r="H40"/>
  <c r="I40"/>
  <c r="J40"/>
  <c r="K40"/>
  <c r="B40"/>
  <c r="L40" s="1"/>
  <c r="L36"/>
  <c r="L22"/>
  <c r="C24"/>
  <c r="D24"/>
  <c r="E24"/>
  <c r="F24"/>
  <c r="G24"/>
  <c r="H24"/>
  <c r="I24"/>
  <c r="J24"/>
  <c r="K24"/>
  <c r="B24"/>
  <c r="G17"/>
  <c r="G16"/>
  <c r="G19" s="1"/>
  <c r="E31" i="35"/>
  <c r="E30"/>
  <c r="E26"/>
  <c r="E25"/>
  <c r="E21"/>
  <c r="E22"/>
  <c r="E19"/>
  <c r="E20"/>
  <c r="E16"/>
  <c r="E18"/>
  <c r="E17"/>
  <c r="E15"/>
  <c r="E14"/>
  <c r="E13"/>
  <c r="E12"/>
  <c r="E11"/>
  <c r="E10"/>
  <c r="E9"/>
  <c r="H4" s="1"/>
  <c r="K4" s="1"/>
  <c r="L4" s="1"/>
  <c r="E8"/>
  <c r="P7"/>
  <c r="E7"/>
  <c r="P6"/>
  <c r="E6"/>
  <c r="H5" s="1"/>
  <c r="K5" s="1"/>
  <c r="L5" s="1"/>
  <c r="P5"/>
  <c r="E5"/>
  <c r="P4"/>
  <c r="E4"/>
  <c r="E3"/>
  <c r="F54" i="28"/>
  <c r="F95"/>
  <c r="F94"/>
  <c r="F93"/>
  <c r="F105"/>
  <c r="F56" i="31"/>
  <c r="F55"/>
  <c r="F95"/>
  <c r="F94"/>
  <c r="I46" i="33"/>
  <c r="I45"/>
  <c r="I44"/>
  <c r="I43"/>
  <c r="I42"/>
  <c r="I41"/>
  <c r="E387"/>
  <c r="E391" s="1"/>
  <c r="F391" s="1"/>
  <c r="E386"/>
  <c r="F386" s="1"/>
  <c r="F385"/>
  <c r="F384"/>
  <c r="E383"/>
  <c r="F383" s="1"/>
  <c r="E382"/>
  <c r="F382" s="1"/>
  <c r="E381"/>
  <c r="F381" s="1"/>
  <c r="E380"/>
  <c r="F380" s="1"/>
  <c r="E379"/>
  <c r="F379" s="1"/>
  <c r="E378"/>
  <c r="F378" s="1"/>
  <c r="F377"/>
  <c r="F376"/>
  <c r="E375"/>
  <c r="F375" s="1"/>
  <c r="E374"/>
  <c r="F374" s="1"/>
  <c r="E373"/>
  <c r="F373" s="1"/>
  <c r="E372"/>
  <c r="F372" s="1"/>
  <c r="E371"/>
  <c r="F371" s="1"/>
  <c r="E370"/>
  <c r="F370" s="1"/>
  <c r="E369"/>
  <c r="F369" s="1"/>
  <c r="E368"/>
  <c r="F368" s="1"/>
  <c r="E367"/>
  <c r="F367" s="1"/>
  <c r="E366"/>
  <c r="F366" s="1"/>
  <c r="E365"/>
  <c r="F365" s="1"/>
  <c r="E364"/>
  <c r="F364" s="1"/>
  <c r="F363"/>
  <c r="E362"/>
  <c r="F362" s="1"/>
  <c r="E361"/>
  <c r="F361" s="1"/>
  <c r="E360"/>
  <c r="F360" s="1"/>
  <c r="E359"/>
  <c r="F359" s="1"/>
  <c r="E358"/>
  <c r="F358" s="1"/>
  <c r="E357"/>
  <c r="F357" s="1"/>
  <c r="E356"/>
  <c r="F356" s="1"/>
  <c r="E355"/>
  <c r="F355" s="1"/>
  <c r="E354"/>
  <c r="F354" s="1"/>
  <c r="E353"/>
  <c r="F353" s="1"/>
  <c r="E352"/>
  <c r="F352" s="1"/>
  <c r="F351"/>
  <c r="F350"/>
  <c r="E349"/>
  <c r="F349" s="1"/>
  <c r="E348"/>
  <c r="F348" s="1"/>
  <c r="E347"/>
  <c r="F347" s="1"/>
  <c r="E346"/>
  <c r="F346" s="1"/>
  <c r="E345"/>
  <c r="F345" s="1"/>
  <c r="E344"/>
  <c r="F344" s="1"/>
  <c r="I269"/>
  <c r="I268"/>
  <c r="I267"/>
  <c r="I266"/>
  <c r="I265"/>
  <c r="I260"/>
  <c r="I259"/>
  <c r="H258"/>
  <c r="I258" s="1"/>
  <c r="H257"/>
  <c r="I257" s="1"/>
  <c r="H256"/>
  <c r="I256" s="1"/>
  <c r="H255"/>
  <c r="I255" s="1"/>
  <c r="H254"/>
  <c r="I254" s="1"/>
  <c r="H253"/>
  <c r="I253" s="1"/>
  <c r="H252"/>
  <c r="I252" s="1"/>
  <c r="H251"/>
  <c r="I251" s="1"/>
  <c r="H250"/>
  <c r="I250" s="1"/>
  <c r="H249"/>
  <c r="I249" s="1"/>
  <c r="H248"/>
  <c r="I248" s="1"/>
  <c r="H245"/>
  <c r="I245" s="1"/>
  <c r="H244"/>
  <c r="I244" s="1"/>
  <c r="H243"/>
  <c r="I243" s="1"/>
  <c r="H240"/>
  <c r="I240" s="1"/>
  <c r="H239"/>
  <c r="I239" s="1"/>
  <c r="H236"/>
  <c r="I236" s="1"/>
  <c r="H235"/>
  <c r="I235" s="1"/>
  <c r="H234"/>
  <c r="I234" s="1"/>
  <c r="I232"/>
  <c r="I231"/>
  <c r="I230"/>
  <c r="H227"/>
  <c r="I227" s="1"/>
  <c r="I225"/>
  <c r="I224"/>
  <c r="I223"/>
  <c r="I217"/>
  <c r="I214"/>
  <c r="I212"/>
  <c r="I210"/>
  <c r="I209"/>
  <c r="I208"/>
  <c r="I207"/>
  <c r="I201"/>
  <c r="I200"/>
  <c r="I199"/>
  <c r="H197"/>
  <c r="I197" s="1"/>
  <c r="H196"/>
  <c r="I196" s="1"/>
  <c r="H195"/>
  <c r="I195" s="1"/>
  <c r="I194"/>
  <c r="I193"/>
  <c r="I192"/>
  <c r="H191"/>
  <c r="I191" s="1"/>
  <c r="H188"/>
  <c r="I188" s="1"/>
  <c r="H187"/>
  <c r="I187" s="1"/>
  <c r="H186"/>
  <c r="I186" s="1"/>
  <c r="I185"/>
  <c r="I183"/>
  <c r="I182"/>
  <c r="I181"/>
  <c r="I180"/>
  <c r="I178"/>
  <c r="I177"/>
  <c r="I176"/>
  <c r="I175"/>
  <c r="I202" s="1"/>
  <c r="I283" s="1"/>
  <c r="I169"/>
  <c r="I168"/>
  <c r="I167"/>
  <c r="I166"/>
  <c r="I165"/>
  <c r="I164"/>
  <c r="I159"/>
  <c r="I158"/>
  <c r="I157"/>
  <c r="I156"/>
  <c r="I155"/>
  <c r="I154"/>
  <c r="I153"/>
  <c r="I152"/>
  <c r="I151"/>
  <c r="I150"/>
  <c r="I160" s="1"/>
  <c r="I281" s="1"/>
  <c r="I145"/>
  <c r="I144"/>
  <c r="I143"/>
  <c r="I142"/>
  <c r="I141"/>
  <c r="H139"/>
  <c r="I139" s="1"/>
  <c r="I138"/>
  <c r="H136"/>
  <c r="I136" s="1"/>
  <c r="I135"/>
  <c r="H133"/>
  <c r="I133" s="1"/>
  <c r="I131"/>
  <c r="I129"/>
  <c r="I128"/>
  <c r="I127"/>
  <c r="I126"/>
  <c r="H124"/>
  <c r="I124" s="1"/>
  <c r="I123"/>
  <c r="I122"/>
  <c r="H120"/>
  <c r="I120" s="1"/>
  <c r="I119"/>
  <c r="I118"/>
  <c r="I117"/>
  <c r="H110"/>
  <c r="I110" s="1"/>
  <c r="I109"/>
  <c r="H108"/>
  <c r="I108" s="1"/>
  <c r="H102"/>
  <c r="I102" s="1"/>
  <c r="I101"/>
  <c r="I100"/>
  <c r="H97"/>
  <c r="I97" s="1"/>
  <c r="I96"/>
  <c r="I95"/>
  <c r="H89"/>
  <c r="I89" s="1"/>
  <c r="H88"/>
  <c r="I88" s="1"/>
  <c r="H86"/>
  <c r="I86" s="1"/>
  <c r="H85"/>
  <c r="I85" s="1"/>
  <c r="H79"/>
  <c r="I79" s="1"/>
  <c r="H78"/>
  <c r="I78" s="1"/>
  <c r="H77"/>
  <c r="I77" s="1"/>
  <c r="I76"/>
  <c r="H74"/>
  <c r="I74" s="1"/>
  <c r="H73"/>
  <c r="I73" s="1"/>
  <c r="H72"/>
  <c r="I72" s="1"/>
  <c r="I70"/>
  <c r="I69"/>
  <c r="I66"/>
  <c r="I65"/>
  <c r="I64"/>
  <c r="I63"/>
  <c r="I62"/>
  <c r="H60"/>
  <c r="I60" s="1"/>
  <c r="H59"/>
  <c r="I59" s="1"/>
  <c r="I58"/>
  <c r="H57"/>
  <c r="I57" s="1"/>
  <c r="H56"/>
  <c r="I56" s="1"/>
  <c r="H54"/>
  <c r="I54" s="1"/>
  <c r="H53"/>
  <c r="I53" s="1"/>
  <c r="I52"/>
  <c r="I40"/>
  <c r="H32"/>
  <c r="I32" s="1"/>
  <c r="H31"/>
  <c r="I31" s="1"/>
  <c r="I30"/>
  <c r="H28"/>
  <c r="I28" s="1"/>
  <c r="H27"/>
  <c r="I27" s="1"/>
  <c r="I26"/>
  <c r="I24"/>
  <c r="I23"/>
  <c r="I21"/>
  <c r="I20"/>
  <c r="I19"/>
  <c r="I13"/>
  <c r="I12"/>
  <c r="I14" s="1"/>
  <c r="I7"/>
  <c r="I8" s="1"/>
  <c r="D27" i="31"/>
  <c r="H154" i="28"/>
  <c r="A152" i="31"/>
  <c r="A151"/>
  <c r="A150"/>
  <c r="A149"/>
  <c r="A148"/>
  <c r="A147"/>
  <c r="A146"/>
  <c r="A145"/>
  <c r="A144"/>
  <c r="A143"/>
  <c r="A142"/>
  <c r="A141"/>
  <c r="A140"/>
  <c r="F134"/>
  <c r="F133"/>
  <c r="F132"/>
  <c r="F131"/>
  <c r="F130"/>
  <c r="F135" s="1"/>
  <c r="F152" s="1"/>
  <c r="F124"/>
  <c r="F123"/>
  <c r="F122"/>
  <c r="F121"/>
  <c r="F125" s="1"/>
  <c r="F151" s="1"/>
  <c r="F115"/>
  <c r="F114"/>
  <c r="F113"/>
  <c r="F112"/>
  <c r="F116" s="1"/>
  <c r="F150" s="1"/>
  <c r="F106"/>
  <c r="F105"/>
  <c r="F104"/>
  <c r="F103"/>
  <c r="F102"/>
  <c r="F96"/>
  <c r="F93"/>
  <c r="F92"/>
  <c r="F91"/>
  <c r="F90"/>
  <c r="F89"/>
  <c r="F83"/>
  <c r="F82"/>
  <c r="F81"/>
  <c r="F80"/>
  <c r="F79"/>
  <c r="F78"/>
  <c r="F77"/>
  <c r="F76"/>
  <c r="F75"/>
  <c r="F74"/>
  <c r="F73"/>
  <c r="F67"/>
  <c r="F66"/>
  <c r="F65"/>
  <c r="F64"/>
  <c r="F63"/>
  <c r="F62"/>
  <c r="F68" s="1"/>
  <c r="F146" s="1"/>
  <c r="F54"/>
  <c r="F53"/>
  <c r="F47"/>
  <c r="F46"/>
  <c r="F48" s="1"/>
  <c r="F144" s="1"/>
  <c r="F39"/>
  <c r="F38"/>
  <c r="F37"/>
  <c r="F36"/>
  <c r="E35"/>
  <c r="F35" s="1"/>
  <c r="E34"/>
  <c r="F34" s="1"/>
  <c r="E33"/>
  <c r="F33" s="1"/>
  <c r="F27"/>
  <c r="D26"/>
  <c r="F26" s="1"/>
  <c r="F25"/>
  <c r="F24"/>
  <c r="F23"/>
  <c r="F22"/>
  <c r="F16"/>
  <c r="F15"/>
  <c r="F14"/>
  <c r="F17" s="1"/>
  <c r="F141" s="1"/>
  <c r="F8"/>
  <c r="F9" s="1"/>
  <c r="F140" s="1"/>
  <c r="I88" i="29"/>
  <c r="I86"/>
  <c r="I80"/>
  <c r="J80" s="1"/>
  <c r="I77"/>
  <c r="H88"/>
  <c r="H86"/>
  <c r="G75"/>
  <c r="G77"/>
  <c r="H77" s="1"/>
  <c r="G78"/>
  <c r="G80"/>
  <c r="G81"/>
  <c r="G82"/>
  <c r="G83"/>
  <c r="G84"/>
  <c r="G74"/>
  <c r="H74" s="1"/>
  <c r="J74" s="1"/>
  <c r="I203" i="26"/>
  <c r="I204"/>
  <c r="I124"/>
  <c r="G56" i="53" l="1"/>
  <c r="G10"/>
  <c r="G31" s="1"/>
  <c r="G61" s="1"/>
  <c r="G28"/>
  <c r="L25" i="43"/>
  <c r="L27" s="1"/>
  <c r="I90" i="33"/>
  <c r="J77" i="29"/>
  <c r="F57" i="31"/>
  <c r="F145" s="1"/>
  <c r="F84"/>
  <c r="F147" s="1"/>
  <c r="I146" i="33"/>
  <c r="I170"/>
  <c r="I282" s="1"/>
  <c r="I218"/>
  <c r="I284" s="1"/>
  <c r="H237"/>
  <c r="I237" s="1"/>
  <c r="H242"/>
  <c r="I242" s="1"/>
  <c r="E28" i="45"/>
  <c r="E30" s="1"/>
  <c r="E31" s="1"/>
  <c r="K22" i="46"/>
  <c r="K24" s="1"/>
  <c r="K25" s="1"/>
  <c r="F40" i="31"/>
  <c r="F143" s="1"/>
  <c r="F97"/>
  <c r="F148" s="1"/>
  <c r="H228" i="33"/>
  <c r="I228" s="1"/>
  <c r="H241"/>
  <c r="B8" i="41"/>
  <c r="W28" i="45"/>
  <c r="W30" s="1"/>
  <c r="W31" s="1"/>
  <c r="E22" i="46"/>
  <c r="E24" s="1"/>
  <c r="E25" s="1"/>
  <c r="F28" i="31"/>
  <c r="F142" s="1"/>
  <c r="F107"/>
  <c r="F149" s="1"/>
  <c r="I80" i="33"/>
  <c r="I270"/>
  <c r="I286" s="1"/>
  <c r="L24" i="36"/>
  <c r="J8" i="37"/>
  <c r="H29"/>
  <c r="D8" i="41"/>
  <c r="K28" i="45"/>
  <c r="K30" s="1"/>
  <c r="K31" s="1"/>
  <c r="G28" i="43"/>
  <c r="G10"/>
  <c r="G31"/>
  <c r="G61" s="1"/>
  <c r="G299" i="33"/>
  <c r="I299" s="1"/>
  <c r="G300"/>
  <c r="I300" s="1"/>
  <c r="G301"/>
  <c r="I301" s="1"/>
  <c r="G302"/>
  <c r="I302" s="1"/>
  <c r="G303"/>
  <c r="I303" s="1"/>
  <c r="I36"/>
  <c r="I37"/>
  <c r="I38"/>
  <c r="I39"/>
  <c r="I34"/>
  <c r="I47" s="1"/>
  <c r="I105"/>
  <c r="H106"/>
  <c r="I106" s="1"/>
  <c r="I111"/>
  <c r="J19" i="37"/>
  <c r="K29"/>
  <c r="L29" s="1"/>
  <c r="J29"/>
  <c r="J26"/>
  <c r="J27"/>
  <c r="J28"/>
  <c r="B31" i="36"/>
  <c r="G31"/>
  <c r="L31"/>
  <c r="L44"/>
  <c r="L45" s="1"/>
  <c r="M45" s="1"/>
  <c r="J4" i="35"/>
  <c r="J5"/>
  <c r="J86" i="29"/>
  <c r="J88"/>
  <c r="F387" i="33"/>
  <c r="E388"/>
  <c r="F388" s="1"/>
  <c r="E389"/>
  <c r="F389" s="1"/>
  <c r="E390"/>
  <c r="F390" s="1"/>
  <c r="F73" i="28"/>
  <c r="F154" i="31" l="1"/>
  <c r="I310" i="33"/>
  <c r="I241"/>
  <c r="H229"/>
  <c r="I229" s="1"/>
  <c r="I261" s="1"/>
  <c r="I285" s="1"/>
  <c r="J31" i="37"/>
  <c r="J91" i="29"/>
  <c r="F392" i="33"/>
  <c r="I173" i="26"/>
  <c r="I172"/>
  <c r="I14"/>
  <c r="I125"/>
  <c r="G65" i="29"/>
  <c r="G66"/>
  <c r="G67"/>
  <c r="G64"/>
  <c r="G58"/>
  <c r="G59"/>
  <c r="G60"/>
  <c r="G61"/>
  <c r="G62"/>
  <c r="G57"/>
  <c r="G69" s="1"/>
  <c r="D165" i="26"/>
  <c r="I165" s="1"/>
  <c r="I25"/>
  <c r="E34" i="28"/>
  <c r="E36"/>
  <c r="E35"/>
  <c r="H227" i="26"/>
  <c r="I205"/>
  <c r="I202"/>
  <c r="I258"/>
  <c r="I211"/>
  <c r="I209"/>
  <c r="I207"/>
  <c r="H105"/>
  <c r="I97"/>
  <c r="H224"/>
  <c r="I224" s="1"/>
  <c r="I225"/>
  <c r="I226"/>
  <c r="H230"/>
  <c r="I230"/>
  <c r="I252"/>
  <c r="I253"/>
  <c r="H251"/>
  <c r="I251" s="1"/>
  <c r="I218"/>
  <c r="I219"/>
  <c r="I217"/>
  <c r="I105"/>
  <c r="I101"/>
  <c r="I79"/>
  <c r="I74"/>
  <c r="H246"/>
  <c r="I246" s="1"/>
  <c r="H250"/>
  <c r="H239" s="1"/>
  <c r="I239" s="1"/>
  <c r="H249"/>
  <c r="I249" s="1"/>
  <c r="H248"/>
  <c r="I248" s="1"/>
  <c r="H247"/>
  <c r="H238" s="1"/>
  <c r="I238" s="1"/>
  <c r="H245"/>
  <c r="I245" s="1"/>
  <c r="H244"/>
  <c r="H236" s="1"/>
  <c r="H243"/>
  <c r="H235" s="1"/>
  <c r="I235" s="1"/>
  <c r="H242"/>
  <c r="H234" s="1"/>
  <c r="H222" s="1"/>
  <c r="I222" s="1"/>
  <c r="H241"/>
  <c r="H233" s="1"/>
  <c r="H221" s="1"/>
  <c r="I221" s="1"/>
  <c r="H186"/>
  <c r="F161" i="31" l="1"/>
  <c r="F159"/>
  <c r="I271" i="33"/>
  <c r="I277" s="1"/>
  <c r="I288" s="1"/>
  <c r="I289" s="1"/>
  <c r="I212" i="26"/>
  <c r="H223"/>
  <c r="I223" s="1"/>
  <c r="H229"/>
  <c r="H231"/>
  <c r="I231" s="1"/>
  <c r="I233"/>
  <c r="I227"/>
  <c r="I234"/>
  <c r="I236"/>
  <c r="I241"/>
  <c r="I250"/>
  <c r="I247"/>
  <c r="I244"/>
  <c r="I243"/>
  <c r="I242"/>
  <c r="H237"/>
  <c r="H228" s="1"/>
  <c r="I228" s="1"/>
  <c r="I123"/>
  <c r="I137"/>
  <c r="H135"/>
  <c r="H132"/>
  <c r="H129"/>
  <c r="H121"/>
  <c r="H117"/>
  <c r="H107"/>
  <c r="I107" s="1"/>
  <c r="H106"/>
  <c r="I106" s="1"/>
  <c r="H103"/>
  <c r="I103" s="1"/>
  <c r="H102"/>
  <c r="I102" s="1"/>
  <c r="H99"/>
  <c r="I99" s="1"/>
  <c r="H98"/>
  <c r="H91"/>
  <c r="H90"/>
  <c r="H88"/>
  <c r="I88" s="1"/>
  <c r="H87"/>
  <c r="H81"/>
  <c r="I81" s="1"/>
  <c r="H80"/>
  <c r="I80" s="1"/>
  <c r="H77"/>
  <c r="I77" s="1"/>
  <c r="H76"/>
  <c r="I76" s="1"/>
  <c r="H75"/>
  <c r="I75" s="1"/>
  <c r="H72"/>
  <c r="H71"/>
  <c r="I68"/>
  <c r="H59"/>
  <c r="H58"/>
  <c r="H56"/>
  <c r="H55"/>
  <c r="H53"/>
  <c r="H52"/>
  <c r="H51"/>
  <c r="I44"/>
  <c r="H43"/>
  <c r="H42"/>
  <c r="H34"/>
  <c r="H33"/>
  <c r="H32"/>
  <c r="H30"/>
  <c r="H29"/>
  <c r="H28"/>
  <c r="H192"/>
  <c r="H191"/>
  <c r="H190"/>
  <c r="H184"/>
  <c r="H183"/>
  <c r="H182"/>
  <c r="I188"/>
  <c r="I148"/>
  <c r="D112"/>
  <c r="H70"/>
  <c r="D262"/>
  <c r="I262" s="1"/>
  <c r="D261"/>
  <c r="I261" s="1"/>
  <c r="D260"/>
  <c r="I260" s="1"/>
  <c r="D259"/>
  <c r="I259" s="1"/>
  <c r="D258"/>
  <c r="D240"/>
  <c r="D232"/>
  <c r="D220"/>
  <c r="D210"/>
  <c r="D208"/>
  <c r="D206"/>
  <c r="D201"/>
  <c r="D193"/>
  <c r="D185"/>
  <c r="D180"/>
  <c r="D175"/>
  <c r="D170"/>
  <c r="D164"/>
  <c r="D163"/>
  <c r="D162"/>
  <c r="I162" s="1"/>
  <c r="D161"/>
  <c r="I161" s="1"/>
  <c r="D160"/>
  <c r="I152"/>
  <c r="D136"/>
  <c r="D133"/>
  <c r="D130"/>
  <c r="D127"/>
  <c r="D122"/>
  <c r="D104"/>
  <c r="D100"/>
  <c r="D96"/>
  <c r="D89"/>
  <c r="D86"/>
  <c r="D73"/>
  <c r="D69"/>
  <c r="D66"/>
  <c r="D60"/>
  <c r="D50"/>
  <c r="D41"/>
  <c r="D31"/>
  <c r="D27"/>
  <c r="D24"/>
  <c r="D20"/>
  <c r="F90" i="28"/>
  <c r="F79"/>
  <c r="F75"/>
  <c r="D26"/>
  <c r="G47" i="29"/>
  <c r="B57"/>
  <c r="B56"/>
  <c r="E9"/>
  <c r="Q38"/>
  <c r="K38"/>
  <c r="K27"/>
  <c r="Q40"/>
  <c r="Q39"/>
  <c r="Q37"/>
  <c r="Q36"/>
  <c r="Q35"/>
  <c r="Q34"/>
  <c r="Q33"/>
  <c r="Q32"/>
  <c r="Q31"/>
  <c r="Q30"/>
  <c r="Q24"/>
  <c r="Q23"/>
  <c r="Q22"/>
  <c r="Q21"/>
  <c r="Q20"/>
  <c r="Q19"/>
  <c r="Q18"/>
  <c r="Q17"/>
  <c r="Q16"/>
  <c r="Q15"/>
  <c r="Q14"/>
  <c r="Q13"/>
  <c r="Q12"/>
  <c r="Q11"/>
  <c r="Q10"/>
  <c r="Q8"/>
  <c r="Q7"/>
  <c r="Q6"/>
  <c r="Q5"/>
  <c r="Q4"/>
  <c r="Q3"/>
  <c r="K31"/>
  <c r="K32"/>
  <c r="K33"/>
  <c r="K34"/>
  <c r="K35"/>
  <c r="K36"/>
  <c r="K37"/>
  <c r="K39"/>
  <c r="K40"/>
  <c r="K30"/>
  <c r="K4"/>
  <c r="K5"/>
  <c r="K6"/>
  <c r="K7"/>
  <c r="K8"/>
  <c r="K10"/>
  <c r="K11"/>
  <c r="K12"/>
  <c r="K13"/>
  <c r="K14"/>
  <c r="K15"/>
  <c r="K16"/>
  <c r="K17"/>
  <c r="K18"/>
  <c r="K19"/>
  <c r="K20"/>
  <c r="K21"/>
  <c r="K22"/>
  <c r="K23"/>
  <c r="K24"/>
  <c r="K25"/>
  <c r="K26"/>
  <c r="K28"/>
  <c r="K3"/>
  <c r="E18"/>
  <c r="E19"/>
  <c r="E20"/>
  <c r="E21"/>
  <c r="E22"/>
  <c r="E23"/>
  <c r="E24"/>
  <c r="E25"/>
  <c r="E26"/>
  <c r="E28"/>
  <c r="E29"/>
  <c r="E30"/>
  <c r="E31"/>
  <c r="E32"/>
  <c r="E33"/>
  <c r="E34"/>
  <c r="E17"/>
  <c r="E5"/>
  <c r="E6"/>
  <c r="E7"/>
  <c r="E8"/>
  <c r="E10"/>
  <c r="E11"/>
  <c r="E4"/>
  <c r="I98" i="26"/>
  <c r="I164"/>
  <c r="I163"/>
  <c r="I160"/>
  <c r="I87"/>
  <c r="F124" i="28"/>
  <c r="F123"/>
  <c r="F122"/>
  <c r="F121"/>
  <c r="F134"/>
  <c r="F133"/>
  <c r="F132"/>
  <c r="F131"/>
  <c r="F130"/>
  <c r="F114"/>
  <c r="F113"/>
  <c r="F112"/>
  <c r="F111"/>
  <c r="F15"/>
  <c r="F16"/>
  <c r="F40"/>
  <c r="F53"/>
  <c r="F52"/>
  <c r="F56" s="1"/>
  <c r="F145" s="1"/>
  <c r="F102"/>
  <c r="F103"/>
  <c r="F104"/>
  <c r="F101"/>
  <c r="A145"/>
  <c r="A148"/>
  <c r="F77"/>
  <c r="F76"/>
  <c r="F74"/>
  <c r="F72"/>
  <c r="F82"/>
  <c r="F81"/>
  <c r="F80"/>
  <c r="F78"/>
  <c r="F92"/>
  <c r="F91"/>
  <c r="F89"/>
  <c r="F88"/>
  <c r="F45"/>
  <c r="F39"/>
  <c r="I108" i="26" l="1"/>
  <c r="L28" i="29"/>
  <c r="L42" s="1"/>
  <c r="L40"/>
  <c r="R40"/>
  <c r="J253" i="26"/>
  <c r="I166"/>
  <c r="D54"/>
  <c r="D35"/>
  <c r="I229"/>
  <c r="I237"/>
  <c r="F115" i="28"/>
  <c r="F150" s="1"/>
  <c r="E12" i="29"/>
  <c r="F96" i="28"/>
  <c r="F148" s="1"/>
  <c r="F106"/>
  <c r="F149" s="1"/>
  <c r="R24" i="29"/>
  <c r="E35"/>
  <c r="F83" i="28"/>
  <c r="F147" s="1"/>
  <c r="A152"/>
  <c r="A151"/>
  <c r="A150"/>
  <c r="A149"/>
  <c r="A147"/>
  <c r="A146"/>
  <c r="A144"/>
  <c r="A143"/>
  <c r="A142"/>
  <c r="A141"/>
  <c r="A140"/>
  <c r="F46"/>
  <c r="F35"/>
  <c r="F8"/>
  <c r="F9" s="1"/>
  <c r="F316" i="26"/>
  <c r="F315"/>
  <c r="E314"/>
  <c r="E313"/>
  <c r="F314"/>
  <c r="E352"/>
  <c r="E356" s="1"/>
  <c r="E351"/>
  <c r="E348"/>
  <c r="E339"/>
  <c r="F339" s="1"/>
  <c r="E338"/>
  <c r="F338" s="1"/>
  <c r="E337"/>
  <c r="E336"/>
  <c r="E335"/>
  <c r="F335" s="1"/>
  <c r="E334"/>
  <c r="F334" s="1"/>
  <c r="E333"/>
  <c r="E332"/>
  <c r="E331"/>
  <c r="E330"/>
  <c r="F330" s="1"/>
  <c r="E329"/>
  <c r="E347"/>
  <c r="E346"/>
  <c r="E345"/>
  <c r="F345" s="1"/>
  <c r="E344"/>
  <c r="E343"/>
  <c r="E340"/>
  <c r="F340" s="1"/>
  <c r="E327"/>
  <c r="F327" s="1"/>
  <c r="E326"/>
  <c r="E325"/>
  <c r="E324"/>
  <c r="F324" s="1"/>
  <c r="E323"/>
  <c r="F323" s="1"/>
  <c r="E322"/>
  <c r="E321"/>
  <c r="E320"/>
  <c r="F320" s="1"/>
  <c r="E319"/>
  <c r="F319" s="1"/>
  <c r="E318"/>
  <c r="E317"/>
  <c r="E312"/>
  <c r="E311"/>
  <c r="E310"/>
  <c r="E309"/>
  <c r="F309" s="1"/>
  <c r="F351"/>
  <c r="F350"/>
  <c r="F349"/>
  <c r="F347"/>
  <c r="F346"/>
  <c r="F344"/>
  <c r="F343"/>
  <c r="F342"/>
  <c r="F341"/>
  <c r="F337"/>
  <c r="F336"/>
  <c r="F333"/>
  <c r="F332"/>
  <c r="F331"/>
  <c r="F329"/>
  <c r="F328"/>
  <c r="F326"/>
  <c r="F325"/>
  <c r="F322"/>
  <c r="F321"/>
  <c r="F318"/>
  <c r="F317"/>
  <c r="I116"/>
  <c r="I117"/>
  <c r="I119"/>
  <c r="I121"/>
  <c r="I147"/>
  <c r="I149"/>
  <c r="I150"/>
  <c r="I151"/>
  <c r="I153"/>
  <c r="I154"/>
  <c r="I155"/>
  <c r="I146"/>
  <c r="F63" i="28"/>
  <c r="I40" i="26"/>
  <c r="I8"/>
  <c r="I9" s="1"/>
  <c r="I72"/>
  <c r="I71"/>
  <c r="I70"/>
  <c r="I67"/>
  <c r="I65"/>
  <c r="I64"/>
  <c r="I63"/>
  <c r="I62"/>
  <c r="I61"/>
  <c r="I59"/>
  <c r="I58"/>
  <c r="I57"/>
  <c r="I56"/>
  <c r="I55"/>
  <c r="I51"/>
  <c r="F28" i="28"/>
  <c r="F23"/>
  <c r="F62"/>
  <c r="I186" i="26"/>
  <c r="I190"/>
  <c r="I120"/>
  <c r="I115"/>
  <c r="I114"/>
  <c r="I140"/>
  <c r="I139"/>
  <c r="F66" i="28"/>
  <c r="F61"/>
  <c r="I141" i="26"/>
  <c r="I138"/>
  <c r="I135"/>
  <c r="I134"/>
  <c r="I132"/>
  <c r="I131"/>
  <c r="I129"/>
  <c r="I128"/>
  <c r="I126"/>
  <c r="I196"/>
  <c r="I195"/>
  <c r="I192"/>
  <c r="I191"/>
  <c r="I189"/>
  <c r="I187"/>
  <c r="I184"/>
  <c r="I183"/>
  <c r="I182"/>
  <c r="I181"/>
  <c r="I179"/>
  <c r="I178"/>
  <c r="I177"/>
  <c r="I176"/>
  <c r="I174"/>
  <c r="I171"/>
  <c r="I91"/>
  <c r="I90"/>
  <c r="I92" s="1"/>
  <c r="I28"/>
  <c r="I38"/>
  <c r="I45"/>
  <c r="I43"/>
  <c r="I42"/>
  <c r="I39"/>
  <c r="I37"/>
  <c r="I36"/>
  <c r="I32"/>
  <c r="I21"/>
  <c r="F352" l="1"/>
  <c r="R42" i="29"/>
  <c r="E39" s="1"/>
  <c r="E37"/>
  <c r="I156" i="26"/>
  <c r="I254"/>
  <c r="I142"/>
  <c r="I263"/>
  <c r="I15"/>
  <c r="F356"/>
  <c r="F313"/>
  <c r="F22" i="28"/>
  <c r="F24"/>
  <c r="F125"/>
  <c r="F151" s="1"/>
  <c r="F135"/>
  <c r="F152" s="1"/>
  <c r="F47"/>
  <c r="F144" s="1"/>
  <c r="F140"/>
  <c r="E353" i="26"/>
  <c r="F353" s="1"/>
  <c r="E354"/>
  <c r="F354" s="1"/>
  <c r="E355"/>
  <c r="F355" s="1"/>
  <c r="F25" i="28"/>
  <c r="F37"/>
  <c r="F310" i="26"/>
  <c r="I23"/>
  <c r="I30"/>
  <c r="F36" i="28"/>
  <c r="F312" i="26"/>
  <c r="I26"/>
  <c r="I22"/>
  <c r="D13" l="1"/>
  <c r="I13" s="1"/>
  <c r="F14" i="28"/>
  <c r="F64"/>
  <c r="F348" i="26"/>
  <c r="F311"/>
  <c r="F357" s="1"/>
  <c r="I194"/>
  <c r="I197" s="1"/>
  <c r="F34" i="28"/>
  <c r="F38"/>
  <c r="I29" i="26"/>
  <c r="F65" i="28"/>
  <c r="F17" l="1"/>
  <c r="F141" s="1"/>
  <c r="F41"/>
  <c r="I16" i="26"/>
  <c r="F67" i="28"/>
  <c r="F146" s="1"/>
  <c r="F26"/>
  <c r="I52" i="26"/>
  <c r="I53"/>
  <c r="I82" l="1"/>
  <c r="F143" i="28"/>
  <c r="I34" i="26" l="1"/>
  <c r="I33"/>
  <c r="F27" i="28"/>
  <c r="F29" s="1"/>
  <c r="F142" s="1"/>
  <c r="F154" s="1"/>
  <c r="F156" s="1"/>
  <c r="I46" i="26" l="1"/>
  <c r="I264" l="1"/>
</calcChain>
</file>

<file path=xl/sharedStrings.xml><?xml version="1.0" encoding="utf-8"?>
<sst xmlns="http://schemas.openxmlformats.org/spreadsheetml/2006/main" count="4069" uniqueCount="644">
  <si>
    <t>II-1</t>
  </si>
  <si>
    <t>m2</t>
  </si>
  <si>
    <t>m3</t>
  </si>
  <si>
    <t>III-1</t>
  </si>
  <si>
    <t>III-2</t>
  </si>
  <si>
    <t>III-3</t>
  </si>
  <si>
    <t>III-4</t>
  </si>
  <si>
    <t>IV-1</t>
  </si>
  <si>
    <t>kg</t>
  </si>
  <si>
    <t>V-1</t>
  </si>
  <si>
    <t>ml</t>
  </si>
  <si>
    <t>VII-1</t>
  </si>
  <si>
    <t>U</t>
  </si>
  <si>
    <t>VII-2</t>
  </si>
  <si>
    <t>VIII-1</t>
  </si>
  <si>
    <t>VIII-2</t>
  </si>
  <si>
    <t>TOTAL</t>
  </si>
  <si>
    <t>III-5</t>
  </si>
  <si>
    <t>Kg</t>
  </si>
  <si>
    <t>III-6</t>
  </si>
  <si>
    <t>VIII-3</t>
  </si>
  <si>
    <t>IX-1</t>
  </si>
  <si>
    <t>IX-2</t>
  </si>
  <si>
    <t>sac</t>
  </si>
  <si>
    <t>Peinture à l'huile</t>
  </si>
  <si>
    <t>Hublot étanche pour éclairage extérieur</t>
  </si>
  <si>
    <t>XI-1</t>
  </si>
  <si>
    <t>XI-2</t>
  </si>
  <si>
    <t>XI-3</t>
  </si>
  <si>
    <t>XI-4</t>
  </si>
  <si>
    <t>N° DE PRIX</t>
  </si>
  <si>
    <t>DESIGNATION DES TRAVAUX</t>
  </si>
  <si>
    <t>QUANTITE</t>
  </si>
  <si>
    <t>MONTANT</t>
  </si>
  <si>
    <t>MATERIAUX</t>
  </si>
  <si>
    <t>Fer tor 6</t>
  </si>
  <si>
    <t>Fer tor 8</t>
  </si>
  <si>
    <t>barre</t>
  </si>
  <si>
    <t>Caillasse 40/70</t>
  </si>
  <si>
    <t>Gouttière de 2,00m</t>
  </si>
  <si>
    <t>PU (Ar.)</t>
  </si>
  <si>
    <t xml:space="preserve"> </t>
  </si>
  <si>
    <t>Sable de rivière</t>
  </si>
  <si>
    <t>Gravillon 5/25</t>
  </si>
  <si>
    <t>Moellon 20*20*20</t>
  </si>
  <si>
    <t>Fil récuit</t>
  </si>
  <si>
    <t>Fer tor 10</t>
  </si>
  <si>
    <t>Fer tor 12</t>
  </si>
  <si>
    <t>Carreau de faïence 15*15</t>
  </si>
  <si>
    <t>Madrier 7*17 de 4,00 m</t>
  </si>
  <si>
    <t>Pointe 100</t>
  </si>
  <si>
    <t>feuille</t>
  </si>
  <si>
    <t>Cale tôle avec rondelle et vis</t>
  </si>
  <si>
    <t>Pointe tôle</t>
  </si>
  <si>
    <t>TPG 50/100ème de 2,00*1,00</t>
  </si>
  <si>
    <t>Peinture à l'eau intérieure</t>
  </si>
  <si>
    <t>Peinture à l'eau extérieure</t>
  </si>
  <si>
    <t>Pointe 40/60/70/100</t>
  </si>
  <si>
    <t>Planche en bois pin de 4,00 m</t>
  </si>
  <si>
    <t>Planche en bois pin de 2,00 m</t>
  </si>
  <si>
    <t xml:space="preserve">Briques </t>
  </si>
  <si>
    <t>Briques cuites en argile 18*8</t>
  </si>
  <si>
    <t>Bois carré pin 5*5 de 4,00 m</t>
  </si>
  <si>
    <t>Tany mena</t>
  </si>
  <si>
    <t>TOTAL GENERAL</t>
  </si>
  <si>
    <t>III-7</t>
  </si>
  <si>
    <t>V-2</t>
  </si>
  <si>
    <t>SOUS TOTAL TERRASSEMENT</t>
  </si>
  <si>
    <t>SERIE N° 2 : TERRASSEMENT</t>
  </si>
  <si>
    <t>VII-4</t>
  </si>
  <si>
    <t>VII-5</t>
  </si>
  <si>
    <t>VIII-4</t>
  </si>
  <si>
    <t>VIII-5</t>
  </si>
  <si>
    <t>VI-1</t>
  </si>
  <si>
    <t>VI-2</t>
  </si>
  <si>
    <t>VI-3</t>
  </si>
  <si>
    <t>Descente d'eau pluviale en PVC 100</t>
  </si>
  <si>
    <t>Pointe 50</t>
  </si>
  <si>
    <t>Pointe 30 TH</t>
  </si>
  <si>
    <t>Pointe 70</t>
  </si>
  <si>
    <t>Faîtière de 2,00 m</t>
  </si>
  <si>
    <t>VII-3</t>
  </si>
  <si>
    <t>Pointe vitre</t>
  </si>
  <si>
    <t>sachet</t>
  </si>
  <si>
    <t xml:space="preserve">Rouleau </t>
  </si>
  <si>
    <t>Pinceau PM</t>
  </si>
  <si>
    <t>Pinceau GM</t>
  </si>
  <si>
    <t>Fleur de chaux de 30 kg</t>
  </si>
  <si>
    <t>Rouleau</t>
  </si>
  <si>
    <t>White spirit</t>
  </si>
  <si>
    <t>l</t>
  </si>
  <si>
    <t>VIII-6</t>
  </si>
  <si>
    <t>TOTAL TERRASSEMENT</t>
  </si>
  <si>
    <t>TOTAL ENDUIT</t>
  </si>
  <si>
    <t>TOTAL PEINTURE ET VITRERIE</t>
  </si>
  <si>
    <t>TOTAL MENUISERIE BOIS</t>
  </si>
  <si>
    <t>Bois rond de 4,00 m</t>
  </si>
  <si>
    <t>paquet de 5</t>
  </si>
  <si>
    <t>paquet de 10</t>
  </si>
  <si>
    <t>Support de gouttière</t>
  </si>
  <si>
    <t>Collier PVC 100</t>
  </si>
  <si>
    <t>Baguette en bois</t>
  </si>
  <si>
    <t xml:space="preserve">Whitespirit </t>
  </si>
  <si>
    <t>SOUS TOTAL ENDUIT</t>
  </si>
  <si>
    <t>SOUS TOTAL MENUISERIE BOIS</t>
  </si>
  <si>
    <t>Cale tôle avec vis et rondelle</t>
  </si>
  <si>
    <t>CEM I 42,5</t>
  </si>
  <si>
    <t>Bois carré 6*6 de 4,00m</t>
  </si>
  <si>
    <t>Coude 120</t>
  </si>
  <si>
    <t>Colle Girfix</t>
  </si>
  <si>
    <t>tube</t>
  </si>
  <si>
    <t>Madrier 7*17 de 5,00 m</t>
  </si>
  <si>
    <t>Volige pin,lame de 10</t>
  </si>
  <si>
    <t>Gorge en pin de 4,00 m</t>
  </si>
  <si>
    <t>UNITE</t>
  </si>
  <si>
    <t>Madrier (7*17) de 4,00m</t>
  </si>
  <si>
    <t>litre</t>
  </si>
  <si>
    <t>Fourniture et pose vitre démi-double posé sous paraclose en bois soigneusement calfeutre pour les portes, les fenêtres et naco</t>
  </si>
  <si>
    <t>Vitre démi-double</t>
  </si>
  <si>
    <t>I-1</t>
  </si>
  <si>
    <t>Installation et repli de chantier</t>
  </si>
  <si>
    <t>IV-2</t>
  </si>
  <si>
    <t>IV-3</t>
  </si>
  <si>
    <t>IV-4</t>
  </si>
  <si>
    <t>IV-5</t>
  </si>
  <si>
    <t>pannes (7*17)</t>
  </si>
  <si>
    <t>entretoise (6*6)</t>
  </si>
  <si>
    <t>SERIE N° 3 : BETONS ET MACONNERIES EN INFRASTRUCTURE</t>
  </si>
  <si>
    <t>SERIE N°  : INSTALLATION</t>
  </si>
  <si>
    <t>Fft</t>
  </si>
  <si>
    <t>SOUS TOTAL INSTALLATION</t>
  </si>
  <si>
    <t>SOUS TOTAL ELECTRICITE</t>
  </si>
  <si>
    <t>SOUS TOTAL ASSAINISSEMENT</t>
  </si>
  <si>
    <t>SOUS TOTAL PLOMBERIE SANITAIRE</t>
  </si>
  <si>
    <t>Bois carré 10*10 de 4,00m</t>
  </si>
  <si>
    <t>Plafonnage</t>
  </si>
  <si>
    <t>Toiture</t>
  </si>
  <si>
    <t>Planche de 4,00 m en bois dur</t>
  </si>
  <si>
    <t>Gouttière de 2,00 m</t>
  </si>
  <si>
    <t>Tuyau PVC 100 de 6,00 m</t>
  </si>
  <si>
    <t>BOIS</t>
  </si>
  <si>
    <t>AGREGATS</t>
  </si>
  <si>
    <t>PEINTURE  ET  TOITURE</t>
  </si>
  <si>
    <r>
      <t xml:space="preserve">Bois carré </t>
    </r>
    <r>
      <rPr>
        <b/>
        <i/>
        <sz val="9"/>
        <rFont val="Arial Narrow"/>
        <family val="2"/>
      </rPr>
      <t xml:space="preserve">en </t>
    </r>
    <r>
      <rPr>
        <b/>
        <i/>
        <sz val="9"/>
        <color rgb="FFFF0000"/>
        <rFont val="Arial Narrow"/>
        <family val="2"/>
      </rPr>
      <t>bois ordinaire 6*6</t>
    </r>
    <r>
      <rPr>
        <i/>
        <sz val="9"/>
        <rFont val="Arial Narrow"/>
        <family val="2"/>
      </rPr>
      <t xml:space="preserve"> de 4,00 m</t>
    </r>
  </si>
  <si>
    <r>
      <t>Bois carré</t>
    </r>
    <r>
      <rPr>
        <b/>
        <i/>
        <sz val="9"/>
        <color rgb="FFFF0000"/>
        <rFont val="Arial Narrow"/>
        <family val="2"/>
      </rPr>
      <t xml:space="preserve"> pin 5*5</t>
    </r>
    <r>
      <rPr>
        <i/>
        <sz val="9"/>
        <rFont val="Arial Narrow"/>
        <family val="2"/>
      </rPr>
      <t xml:space="preserve"> de 4,00 m</t>
    </r>
  </si>
  <si>
    <r>
      <t xml:space="preserve">Planche en bois </t>
    </r>
    <r>
      <rPr>
        <b/>
        <i/>
        <sz val="9"/>
        <color rgb="FFFF0000"/>
        <rFont val="Arial Narrow"/>
        <family val="2"/>
      </rPr>
      <t xml:space="preserve">pin </t>
    </r>
    <r>
      <rPr>
        <i/>
        <sz val="9"/>
        <rFont val="Arial Narrow"/>
        <family val="2"/>
      </rPr>
      <t>dur de 4,00 m</t>
    </r>
  </si>
  <si>
    <r>
      <t xml:space="preserve">Planche ordinaire </t>
    </r>
    <r>
      <rPr>
        <b/>
        <i/>
        <sz val="9"/>
        <color rgb="FFFF0000"/>
        <rFont val="Arial Narrow"/>
        <family val="2"/>
      </rPr>
      <t>en bois dur</t>
    </r>
    <r>
      <rPr>
        <i/>
        <sz val="9"/>
        <rFont val="Arial Narrow"/>
        <family val="2"/>
      </rPr>
      <t xml:space="preserve"> de 4,00 m</t>
    </r>
  </si>
  <si>
    <t>FER ET PLOMBERIE</t>
  </si>
  <si>
    <t>Carreau de 30*30</t>
  </si>
  <si>
    <t>Antirouille de 1kg</t>
  </si>
  <si>
    <t>boîte</t>
  </si>
  <si>
    <t>Collier plastique de 50</t>
  </si>
  <si>
    <t>Collier plastique de 30</t>
  </si>
  <si>
    <t>Collier plastique de 100</t>
  </si>
  <si>
    <r>
      <t xml:space="preserve">boîte de 44, </t>
    </r>
    <r>
      <rPr>
        <i/>
        <sz val="9"/>
        <color rgb="FFFF0000"/>
        <rFont val="Arial Narrow"/>
        <family val="2"/>
      </rPr>
      <t>couleur</t>
    </r>
  </si>
  <si>
    <r>
      <t xml:space="preserve">boîte de 44, </t>
    </r>
    <r>
      <rPr>
        <i/>
        <sz val="9"/>
        <color rgb="FFFF0000"/>
        <rFont val="Arial Narrow"/>
        <family val="2"/>
      </rPr>
      <t>blanc</t>
    </r>
  </si>
  <si>
    <t>Gorge de 4,00 m paquet de 5</t>
  </si>
  <si>
    <t>Volige pin ép.8 cm</t>
  </si>
  <si>
    <t>Fer plat 3*20 de 5,70 m</t>
  </si>
  <si>
    <t>Tuyau PVC 50 de 6,00 m</t>
  </si>
  <si>
    <t>Tuyau PVC 30 de 6,00 m</t>
  </si>
  <si>
    <t>Tôle en Galvabac 63/100 ème de 1,00 m de large</t>
  </si>
  <si>
    <t>Tôle en Galvabac 45/100 ème de 1,00 m de large</t>
  </si>
  <si>
    <t>Tôle en Galvabac 50/100 ème de 1,00 m de large</t>
  </si>
  <si>
    <t>SERIE N° 1 : INSTALLATION</t>
  </si>
  <si>
    <t>TOTAL INSTALLATION</t>
  </si>
  <si>
    <t xml:space="preserve">TOTAL BETONS ET MACONNERIES EN INFRASTRUCTURE </t>
  </si>
  <si>
    <t>TOTAL BETONS ET MACONNERIES EN SUPERSTRUCTURE</t>
  </si>
  <si>
    <t>IV-6</t>
  </si>
  <si>
    <t>IV-7</t>
  </si>
  <si>
    <t>SERIE N° 5: ENDUIT</t>
  </si>
  <si>
    <t>VII-6</t>
  </si>
  <si>
    <t>TOTAL PLOMBERIE SANITAIRE</t>
  </si>
  <si>
    <t>X-1</t>
  </si>
  <si>
    <t>X-2</t>
  </si>
  <si>
    <t>X-3</t>
  </si>
  <si>
    <t>X-4</t>
  </si>
  <si>
    <t>TOTAL ASSAINISSEMENT</t>
  </si>
  <si>
    <t>TOTAL ELECTRICITE</t>
  </si>
  <si>
    <t xml:space="preserve">SERIE N° 3 : BETONS ET MACONNERIES EN INFRASTRUCTURE </t>
  </si>
  <si>
    <t>SERIE N° 4 : BETONS ET MACONNERIES EN SUPERSTRUCTURE</t>
  </si>
  <si>
    <t>RECAPITULATION</t>
  </si>
  <si>
    <t>Bois carré 6*6 de 4,00 m</t>
  </si>
  <si>
    <t xml:space="preserve">paquet de 5
</t>
  </si>
  <si>
    <t>Tôle galvabac de 5,45 m</t>
  </si>
  <si>
    <t>Rouleau GM</t>
  </si>
  <si>
    <t>Pointe 50 TP</t>
  </si>
  <si>
    <t>Pointe 60 TP</t>
  </si>
  <si>
    <t>Pointe 100 TP</t>
  </si>
  <si>
    <t>Pointe 70 TP</t>
  </si>
  <si>
    <t>SOUS TOTAL PEINTURE ET VITRERIE</t>
  </si>
  <si>
    <t>Badigeonnage à la couche d'impréssion à la chaux.</t>
  </si>
  <si>
    <t>Ciment Holcim Orimbato</t>
  </si>
  <si>
    <t xml:space="preserve">Ciment Holcim Lovako </t>
  </si>
  <si>
    <t xml:space="preserve">Ciment Holcim Manda </t>
  </si>
  <si>
    <t>PRIX UNITAIRE</t>
  </si>
  <si>
    <r>
      <t xml:space="preserve">Bois carré </t>
    </r>
    <r>
      <rPr>
        <b/>
        <i/>
        <sz val="9"/>
        <rFont val="Arial Narrow"/>
        <family val="2"/>
      </rPr>
      <t xml:space="preserve">en </t>
    </r>
    <r>
      <rPr>
        <b/>
        <i/>
        <sz val="9"/>
        <color rgb="FFFF0000"/>
        <rFont val="Arial Narrow"/>
        <family val="2"/>
      </rPr>
      <t>bois ordinaire 10*10</t>
    </r>
    <r>
      <rPr>
        <i/>
        <sz val="9"/>
        <rFont val="Arial Narrow"/>
        <family val="2"/>
      </rPr>
      <t xml:space="preserve"> de 4,00 m</t>
    </r>
  </si>
  <si>
    <t>Coude 90/120</t>
  </si>
  <si>
    <t>Colle girffix</t>
  </si>
  <si>
    <t>tuber</t>
  </si>
  <si>
    <t xml:space="preserve">Vitre demi double </t>
  </si>
  <si>
    <r>
      <t xml:space="preserve">RECAPITULATION DES MATERIAUX </t>
    </r>
    <r>
      <rPr>
        <b/>
        <i/>
        <u/>
        <sz val="12"/>
        <rFont val="Arial Narrow"/>
        <family val="2"/>
      </rPr>
      <t>(sans frais de transport)</t>
    </r>
  </si>
  <si>
    <t>Briques</t>
  </si>
  <si>
    <t>Carreau 15*15</t>
  </si>
  <si>
    <t>Carreau 30*30</t>
  </si>
  <si>
    <t>IX-4</t>
  </si>
  <si>
    <t>IX-5</t>
  </si>
  <si>
    <t xml:space="preserve">BORDEREAU DES DETAILS DEVIS ESTIMATIFS </t>
  </si>
  <si>
    <t>CONSTRUCTION D'UN BATIMENT AVEC UN ETAGE</t>
  </si>
  <si>
    <t>POUR USAGE DE MAISON D'HABITATION DE LA COMMUNAUTE</t>
  </si>
  <si>
    <t>Fouille en rigole, en terrain meuble de toute nature</t>
  </si>
  <si>
    <t>II-2</t>
  </si>
  <si>
    <t>II-3</t>
  </si>
  <si>
    <t>Remblai</t>
  </si>
  <si>
    <t>Evacuation des terres non utilisées</t>
  </si>
  <si>
    <t>Fourniture et mise en œuvre d'hérissonnage en pierre sèche d'épaisseur de 0,15 m</t>
  </si>
  <si>
    <t>Fourniture et mise en œuvre du béton dosé à 300kg/m3 de CEM I 42,5 d'épaisseur de 0,08 m pour dallage</t>
  </si>
  <si>
    <t>Fourniture et mise en œuvre du béton armé dosé à 350kg/m3 de CEM I 42,5 pour les semelles, attentes poteaux et chaînages de maçonnerie de moellons</t>
  </si>
  <si>
    <t>Acier pour armatures du béton ci-dessus de tout diamètre, y compris coupe, façonnage, ligature et toutes sujétions</t>
  </si>
  <si>
    <t>Fourniture et mise en oeuvre de coffrage en bois ordinaire</t>
  </si>
  <si>
    <t>Fourniture et mise en œuvre de maçonnerie de moellons hourdées au mortier de ciment dosé à 300kg/m3 pour la fondation</t>
  </si>
  <si>
    <t xml:space="preserve">Fourniture et mise en oeuvre de maçonnerie de briques cuites en mur 11 hourdée en mortier de ciment dosé à 300kg/m3               </t>
  </si>
  <si>
    <t xml:space="preserve">Fourniture et mise en oeuvre de maçonnerie de briques cuites en mur 22 scellés en terre rouge                 </t>
  </si>
  <si>
    <t>Fourniture et mise en œuvre de claustras d'aération</t>
  </si>
  <si>
    <t>Fournture et mise en œuvre d'enduit étanche au mortier de ciment dosé à 400kg/m3 pour le plafond</t>
  </si>
  <si>
    <t>Fourniture et pose de brique de verre y compris toutes sujétions</t>
  </si>
  <si>
    <t>SERIE N° 6: REVETEMENT</t>
  </si>
  <si>
    <t>Fourniture et pose de plinthe en carreaux 30*30, y compris coupe</t>
  </si>
  <si>
    <t>Fourniture et pose des carreaux muraux de 20 x 30 y compris coupe</t>
  </si>
  <si>
    <t>Fourniture et pose des carreaux sols de 30 x 30 y compris coupe</t>
  </si>
  <si>
    <t xml:space="preserve">Charpente en bois dur pour des pannes, solives et entretoises  y compris fixation et toutes sujétions de pose </t>
  </si>
  <si>
    <t>Fourniture et pose de faîtière en TPG de 50/100ème d'épaisseur, fixation et toutes sujétions de pose.</t>
  </si>
  <si>
    <t>Fourniture et pose de gorge en pin</t>
  </si>
  <si>
    <t>Fourniture et pose de plafonnage en volige pin de 15x100, y compris toutes accèssoires de pose</t>
  </si>
  <si>
    <t xml:space="preserve">TOTAL CHARPENTE - COUVERTURE - PLAFONNAGE </t>
  </si>
  <si>
    <t>TOTAL MENUISERIE METALLIQUE</t>
  </si>
  <si>
    <t>Fourniture et pose de garde corps métallique pour le veranda et l'escalier, y compris toutes accèssoires de pose</t>
  </si>
  <si>
    <t>Fourniture et pose de grille de protection pour les chassis vitrés de dimension de 120 x 120</t>
  </si>
  <si>
    <t>Fourniture et pose de grille de protection pour les chassis vitrés de dimension de 90 x 90</t>
  </si>
  <si>
    <t>Fourniture et pose de grille de protection pour les chassis vitrés de dimension de 90 x 45</t>
  </si>
  <si>
    <t>Fourniture et pose de grille de protection pour naco de dimension de 50 x 50</t>
  </si>
  <si>
    <t xml:space="preserve">SERIE N° 7: CHARPENTE - COUVERTURE - PLAFONNAGE </t>
  </si>
  <si>
    <t>SERIE N° 8: MENUISERIE BOIS</t>
  </si>
  <si>
    <t>VIII-7</t>
  </si>
  <si>
    <t>VIII-8</t>
  </si>
  <si>
    <t>SERIE N° 9: MENUISERIE METALLIQUE</t>
  </si>
  <si>
    <t>Peinture à l'eau plastique extérieure de type Valnyl ou Torgapint lavable en deux couches</t>
  </si>
  <si>
    <t>Peinture à l'eau plastique intérieure de type Valnyl ou Torgapint lavable en deux couches</t>
  </si>
  <si>
    <t>SERIE N° 10: PEINTURE ET VITRERIE</t>
  </si>
  <si>
    <t>X-5</t>
  </si>
  <si>
    <t>SERIE N° 11: PLOMBERIE SANITAIRE</t>
  </si>
  <si>
    <t>SERIE N° 12: ASSAINISSEMENT</t>
  </si>
  <si>
    <t>SERIE N° 13: ELECTRICITE</t>
  </si>
  <si>
    <t>Tuyauterie d'alimentation d'eau en PPR et d'évacuation en PVC de toute diamètre y compris accèssoires</t>
  </si>
  <si>
    <t>Fourniture et pose WC en porcelaine à l'anglaise y compris accèssoires</t>
  </si>
  <si>
    <t>Receveur de douche y compris accèssoires et toutes sujétios de montage</t>
  </si>
  <si>
    <t>Fourniture et pose de lave main en porcelaine y compris accèssoires</t>
  </si>
  <si>
    <t>Câblage apparent en fil VGV 3*2,5mm2 pour tout le réseau électrique y compris accéssoires de pose</t>
  </si>
  <si>
    <t>Installation d'un point lumineux à simple allumage y compris accèssoires</t>
  </si>
  <si>
    <t>Installation d'un point lumineux à allumage va et vient y compris accèssoires</t>
  </si>
  <si>
    <t>Installation d'une prise de courant 2P + T encastrée y compris accéssoires</t>
  </si>
  <si>
    <t>XII-1</t>
  </si>
  <si>
    <t>XII-2</t>
  </si>
  <si>
    <t>XII-3</t>
  </si>
  <si>
    <t>XIII-1</t>
  </si>
  <si>
    <t>XIII-2</t>
  </si>
  <si>
    <t>XIII-3</t>
  </si>
  <si>
    <t>XIII-4</t>
  </si>
  <si>
    <t>XIII-5</t>
  </si>
  <si>
    <t>Canalisation d'évacuation en PVC 100 y compris raccordement et fixation</t>
  </si>
  <si>
    <t>Mise en œuvre puisard absorbant</t>
  </si>
  <si>
    <t>Regards de collecteur en béton avec tampon et avec anneau de levage de dimension intéreure de 60 x 60 x 60</t>
  </si>
  <si>
    <t>Fosse septique en béton armé pour 15 personnes</t>
  </si>
  <si>
    <t>XII-4</t>
  </si>
  <si>
    <t xml:space="preserve">SOUS TOTAL BETONS ET MACONNERIES EN INFRASTRUCTURE </t>
  </si>
  <si>
    <t>SOUS TOTAL BETONS ET MACONNERIES EN SUPERSTRUCTURE</t>
  </si>
  <si>
    <t xml:space="preserve">Fourniture et mise en œuvre du béton armé dosé à 350kg/m3 de CEM I 42,5 pour les poteaux, poutres, dalles, linteaux, chaînages, cheneaux et escalier </t>
  </si>
  <si>
    <t>Brique de verre</t>
  </si>
  <si>
    <t>Fer 6</t>
  </si>
  <si>
    <t>Claustras</t>
  </si>
  <si>
    <t>Attente de tuyau PVC en TPN</t>
  </si>
  <si>
    <t xml:space="preserve">SOUS TOTAL CHARPENTE - COUVERTURE - PLAFONNAGE </t>
  </si>
  <si>
    <t>SOUS TOTAL MENUISERIE METALLIQUE</t>
  </si>
  <si>
    <t>SOUS TOTAL REVETEMENT</t>
  </si>
  <si>
    <t>Carreau 20*30</t>
  </si>
  <si>
    <t>SERIE N° 7: CHARPENTE - COUVERTURE - PLAFONNAGE</t>
  </si>
  <si>
    <t>Fourniture et mise en œuvre de maçonnerie de moellons hourdée au mortier de ciment dosé à 300kg/m3 pour la fondation</t>
  </si>
  <si>
    <t>ENDUIT EXTERIEUR</t>
  </si>
  <si>
    <t>facade pple</t>
  </si>
  <si>
    <t>facade posterieure</t>
  </si>
  <si>
    <t>facade lat gauche</t>
  </si>
  <si>
    <t>facade lat droite</t>
  </si>
  <si>
    <t>a deduire</t>
  </si>
  <si>
    <t>Acrotère</t>
  </si>
  <si>
    <t>pignon</t>
  </si>
  <si>
    <t>total</t>
  </si>
  <si>
    <t>ENDUIT EXT</t>
  </si>
  <si>
    <t>ENDUIT INTERIEUR</t>
  </si>
  <si>
    <t>RDC</t>
  </si>
  <si>
    <t>poutre</t>
  </si>
  <si>
    <t>jambage</t>
  </si>
  <si>
    <t>mur 11</t>
  </si>
  <si>
    <t>ETAGE</t>
  </si>
  <si>
    <t>ENDUIT INT</t>
  </si>
  <si>
    <t>CARREAUX SOLS</t>
  </si>
  <si>
    <t>VIII-9</t>
  </si>
  <si>
    <t>IX-6</t>
  </si>
  <si>
    <t>Fourniture et pose de grille de protection pour les chassis vitrés de dimension de 90 x 120</t>
  </si>
  <si>
    <t>Câblage apparent en fil VGV 3*2,5 mm2 pour tout le réseau électrique y compris accéssoires de pose</t>
  </si>
  <si>
    <t>VIII-10</t>
  </si>
  <si>
    <t>Peinture à l'huile glycérophtalique en deux couches avec toutes sujétions d'exécution pour ouvrages métalliques,bois et plafond</t>
  </si>
  <si>
    <t>Peinture à l'huile glycérophtalique en deux couches avec toutes sujétions d'exécution pour ouvrages métalliques, bois et plafond</t>
  </si>
  <si>
    <t>Tout venant</t>
  </si>
  <si>
    <t>Blocage</t>
  </si>
  <si>
    <t>Planche en bois pin de 4,00 m, 0,15 m de large</t>
  </si>
  <si>
    <t>Pointe 50/60</t>
  </si>
  <si>
    <t>Enduit ordinaire au mortier de ciment dosé à 300kg/m3 d'épaisseur de 0,02 m pour les murs et les faces vues du béton</t>
  </si>
  <si>
    <t>solives plafond en bois carré (8*10)</t>
  </si>
  <si>
    <t>Bois carré 8*8 de 4,00m</t>
  </si>
  <si>
    <t>Chervron 8*10 de 4,00m</t>
  </si>
  <si>
    <t xml:space="preserve">Charpente en bois dur pour des pannes, fermes,solives et entretoises  y compris fixation et toutes sujétions de pose </t>
  </si>
  <si>
    <t>Antirouille</t>
  </si>
  <si>
    <t>TOG 50/100 ème de 3,00 m , de 90 cm de large</t>
  </si>
  <si>
    <t>TOG 50/100 ème de 2,50 m , de 90 cm de large</t>
  </si>
  <si>
    <t>TPN 20/10 èmé</t>
  </si>
  <si>
    <t>TPN 15/10 èmé</t>
  </si>
  <si>
    <t>Tube rectangle 40*30*1,5</t>
  </si>
  <si>
    <t>Fer cornière 30*30*35</t>
  </si>
  <si>
    <t>Peinture à l'eau extérieure de 25 kg, Kapci</t>
  </si>
  <si>
    <t>Peinture à l'eau intérieure de 25 kg, Kapci</t>
  </si>
  <si>
    <t xml:space="preserve">Peinture à l'eau extérieure </t>
  </si>
  <si>
    <t xml:space="preserve">Peinture à l'eau intérieure </t>
  </si>
  <si>
    <t>TOTAL GENENERAL (matériaux)</t>
  </si>
  <si>
    <t>Fer 8</t>
  </si>
  <si>
    <t>Enduit ordinaire au mortier de ciment dosé à 300kg/m3 d'épaisseur de 0,015 m pour les murs, les plafonds et les faces vues du béton</t>
  </si>
  <si>
    <t>Fournture et mise en œuvre d'enduit étanche au mortier de ciment dosé à 400kg/m3 pour le cheneau</t>
  </si>
  <si>
    <t>Coude PVC 100</t>
  </si>
  <si>
    <t>Mâchefer</t>
  </si>
  <si>
    <t>Pipe en PVC 100</t>
  </si>
  <si>
    <t>Baguette en bois de 2,00 m</t>
  </si>
  <si>
    <t xml:space="preserve">WC en porcelaine avec accèssoires </t>
  </si>
  <si>
    <t xml:space="preserve">Lave main en porcelaine avec accèssoires </t>
  </si>
  <si>
    <t>Receveur de douche en porcelaine de 80*80 avec accèssoires</t>
  </si>
  <si>
    <t>Fil VGV 3*2,5 mm2 de 50,0 m</t>
  </si>
  <si>
    <t>rouleau</t>
  </si>
  <si>
    <t>Tuyau d'évacuation en PVC à toutes dimensions</t>
  </si>
  <si>
    <t>Tuyau d'alimentation en PPR à toutes dimensions</t>
  </si>
  <si>
    <t>Fer 10</t>
  </si>
  <si>
    <t>Gravillon 10/20</t>
  </si>
  <si>
    <t>Madrier (5*15) de 4,00m</t>
  </si>
  <si>
    <t>Fourniture et pose de porte pleine avec bâtis en bois dur  à deux vantaux de dimension de 140 x 205</t>
  </si>
  <si>
    <t>Fourniture et pose de porte pleine avec bâtis en bois dur  à un vantail de dimension de 90 x 205</t>
  </si>
  <si>
    <t>Fourniture et pose de porte de communication avec bâtis en bois dur  à un vantail de dimension de 90 x 205</t>
  </si>
  <si>
    <t>Fourniture et pose de porte de communication avec bâtis en bois dur  à un vantail de dimension de 80 x 205</t>
  </si>
  <si>
    <t>Fourniture et pose de porte isoplane avec bâtis  à un vantail de dimension de 80 x 195</t>
  </si>
  <si>
    <t>Fourniture et pose des fenêtres à chassis vitré avec bâtis à deux vantaux en bois dur de dimension de 120 x 120</t>
  </si>
  <si>
    <t>Fourniture et pose des fenêtres à chassis vitré avec bâtis à deux vantaux en bois dur de dimension de 90 x 120</t>
  </si>
  <si>
    <t>Fourniture et pose des fenêtres battantes avec bâtis à chassis vitré à deux vantaux en bois dur de dimension de 90 x 90</t>
  </si>
  <si>
    <t>Fourniture et pose des fenêtres battantes avec bâtis à chassis vitré à deux vantaux en bois dur de dimension de 90 x 45</t>
  </si>
  <si>
    <t>Fourniture et pose de naco vitré avec bâtis en aluminium de dimension de 50 x 50</t>
  </si>
  <si>
    <t>Fourniture et pose des carreaux sols de 30 x 30 y compris coupe et chape au mortier de pose</t>
  </si>
  <si>
    <r>
      <t>Fourniture et mise en œuvre du béton de proprété dosé à 150kg/m</t>
    </r>
    <r>
      <rPr>
        <vertAlign val="superscript"/>
        <sz val="10"/>
        <rFont val="Arial Narrow"/>
        <family val="2"/>
      </rPr>
      <t>3</t>
    </r>
    <r>
      <rPr>
        <sz val="10"/>
        <rFont val="Arial Narrow"/>
        <family val="2"/>
      </rPr>
      <t xml:space="preserve"> de CEM I 42,5  d'épaisseur 0.05 m des semelles filantes</t>
    </r>
  </si>
  <si>
    <t>FMG</t>
  </si>
  <si>
    <t>IX-3</t>
  </si>
  <si>
    <t>puisard</t>
  </si>
  <si>
    <t>Dépose er repose de couverture en tôle Galvabac existante y compris coupe, fixation et toutes sujétions de pose.</t>
  </si>
  <si>
    <t>Rondelle et cale tôle</t>
  </si>
  <si>
    <t>Peinture tôle</t>
  </si>
  <si>
    <t>Sel</t>
  </si>
  <si>
    <t>Poudre savon</t>
  </si>
  <si>
    <t>Fourniture et pose de porte pleine avec bâtis en bois dur  à deux vantaux de dimension de 120 x 205</t>
  </si>
  <si>
    <t>Papier verre</t>
  </si>
  <si>
    <t xml:space="preserve">Fourniture et mise en œuvre du béton armé dosé à 350kg/m3 de CEM I 42,5 pour les poteaux, poutres, dalles, linteaux, auvent, appuis de baie,  chaînages, cheneaux et escalier </t>
  </si>
  <si>
    <t>Accèssoires en PPR à toutes dimensions(coude, raccord union, sns…)</t>
  </si>
  <si>
    <t>Accèssoires en PVC à toutes dimensions(coude, raccord union, sns…)</t>
  </si>
  <si>
    <t>Ariary</t>
  </si>
  <si>
    <t xml:space="preserve"> WC 15 personnes</t>
  </si>
  <si>
    <t>fouille</t>
  </si>
  <si>
    <t>Q150</t>
  </si>
  <si>
    <t>Q350</t>
  </si>
  <si>
    <t>fer</t>
  </si>
  <si>
    <t>coffrage</t>
  </si>
  <si>
    <t xml:space="preserve">                         </t>
  </si>
  <si>
    <t xml:space="preserve">Fourniture et mise en œuvre du béton armé dosé à 350kg/m3 de CEM I 42,5 pour les semelles isolées et les attentes poteaux </t>
  </si>
  <si>
    <t>atao io ny prix</t>
  </si>
  <si>
    <t>N°</t>
  </si>
  <si>
    <t>LONG</t>
  </si>
  <si>
    <t>NBR</t>
  </si>
  <si>
    <t>1'</t>
  </si>
  <si>
    <t>3'</t>
  </si>
  <si>
    <t>T12</t>
  </si>
  <si>
    <t>T8</t>
  </si>
  <si>
    <t>T6</t>
  </si>
  <si>
    <t>T10</t>
  </si>
  <si>
    <t>FER 6</t>
  </si>
  <si>
    <t>FER 8</t>
  </si>
  <si>
    <t>FER 10</t>
  </si>
  <si>
    <t>FER 12</t>
  </si>
  <si>
    <t>POIDS/ML</t>
  </si>
  <si>
    <t>BARRES</t>
  </si>
  <si>
    <t>REEL</t>
  </si>
  <si>
    <t>barres</t>
  </si>
  <si>
    <t>FERRAILLAGE LONGRINE</t>
  </si>
  <si>
    <t>Fourniture et pose de grille de protection d'une porte de dimension de 1,20 x 2,05</t>
  </si>
  <si>
    <t>Fourniture et pose de grille de protection de deux portes de dimension de 0,9 x 2,05</t>
  </si>
  <si>
    <t>IX-7</t>
  </si>
  <si>
    <t>IX-8</t>
  </si>
  <si>
    <t>VI-4</t>
  </si>
  <si>
    <t>Fourniture et pose des carreaux sols de 30 x 30 pour veranda y compris coupe et chape au mortier de pose</t>
  </si>
  <si>
    <t>Fourniture et pose de grille de protection d'une porte de dimension de 120 x 205</t>
  </si>
  <si>
    <t>Fourniture et pose de grille de protection de deux portes de dimension de 90 x 205</t>
  </si>
  <si>
    <r>
      <t>Fourniture et mise en œuvre du béton de proprété dosé à 150kg/m</t>
    </r>
    <r>
      <rPr>
        <vertAlign val="superscript"/>
        <sz val="10"/>
        <rFont val="Arial Narrow"/>
        <family val="2"/>
      </rPr>
      <t>3</t>
    </r>
    <r>
      <rPr>
        <sz val="10"/>
        <rFont val="Arial Narrow"/>
        <family val="2"/>
      </rPr>
      <t xml:space="preserve"> de CEM I 42,5 d'épaisseur 0.05 m des semelles filantes</t>
    </r>
  </si>
  <si>
    <t>Arrêté le présent bordereau de détail quantitatif et estimatif à la somme de "CENT SOIXANTE QUATORZE MILLIONS NEUF CENT CINQUANTEHUIT MILLE SOIXANTE DIX HUIT ARIARY " (Ar 174 958 078)</t>
  </si>
  <si>
    <t>FERRAILLAGE WC 15 personnes</t>
  </si>
  <si>
    <t>5'</t>
  </si>
  <si>
    <t>7'</t>
  </si>
  <si>
    <t>11'</t>
  </si>
  <si>
    <t>13'</t>
  </si>
  <si>
    <t>13"</t>
  </si>
  <si>
    <t>FER TOR</t>
  </si>
  <si>
    <t>POIDS TOTAL</t>
  </si>
  <si>
    <t>DALLE PERFO</t>
  </si>
  <si>
    <t>h/6 [ (2a + a') b  + (2a' + a) b']</t>
  </si>
  <si>
    <t xml:space="preserve">          b=</t>
  </si>
  <si>
    <t>a=</t>
  </si>
  <si>
    <t>a'=</t>
  </si>
  <si>
    <t xml:space="preserve">       b'=</t>
  </si>
  <si>
    <t>h=</t>
  </si>
  <si>
    <t xml:space="preserve">Volume 1 = </t>
  </si>
  <si>
    <t xml:space="preserve">Volume 2 = </t>
  </si>
  <si>
    <t>H=</t>
  </si>
  <si>
    <t xml:space="preserve"> (a x b) x H</t>
  </si>
  <si>
    <t>V = V1 + V2</t>
  </si>
  <si>
    <t>SEMELLES ISOLEES</t>
  </si>
  <si>
    <t>VOLUME</t>
  </si>
  <si>
    <t>NOMBRE</t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</si>
  <si>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=125x125x15/30</t>
    </r>
  </si>
  <si>
    <r>
      <rPr>
        <b/>
        <sz val="12"/>
        <color rgb="FFFF0000"/>
        <rFont val="Arial Narrow"/>
        <family val="2"/>
      </rPr>
      <t>S2</t>
    </r>
    <r>
      <rPr>
        <sz val="12"/>
        <rFont val="Arial Narrow"/>
        <family val="2"/>
      </rPr>
      <t>=125x125x15/35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</si>
  <si>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=130x130x15/35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</si>
  <si>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=135x135x15/35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</si>
  <si>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=140x140x15/35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</si>
  <si>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=145x145x15/35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</si>
  <si>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=145x145x15/40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</si>
  <si>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=150x150x15/40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</si>
  <si>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=155x155x15/40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</si>
  <si>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=170x170x15/40</t>
    </r>
  </si>
  <si>
    <t>VOLUME TOTALE</t>
  </si>
  <si>
    <t>A changer les chiffres dans différèntes couleurs</t>
  </si>
  <si>
    <r>
      <rPr>
        <b/>
        <sz val="12"/>
        <color rgb="FFFF0000"/>
        <rFont val="Arial Narrow"/>
        <family val="2"/>
      </rPr>
      <t>S3</t>
    </r>
    <r>
      <rPr>
        <sz val="12"/>
        <rFont val="Arial Narrow"/>
        <family val="2"/>
      </rPr>
      <t>=130x130x15/35</t>
    </r>
  </si>
  <si>
    <r>
      <rPr>
        <b/>
        <sz val="12"/>
        <color rgb="FFFF0000"/>
        <rFont val="Arial Narrow"/>
        <family val="2"/>
      </rPr>
      <t>S4</t>
    </r>
    <r>
      <rPr>
        <sz val="12"/>
        <rFont val="Arial Narrow"/>
        <family val="2"/>
      </rPr>
      <t>=135x135x15/35</t>
    </r>
  </si>
  <si>
    <r>
      <rPr>
        <b/>
        <sz val="12"/>
        <color rgb="FFFF0000"/>
        <rFont val="Arial Narrow"/>
        <family val="2"/>
      </rPr>
      <t>S5</t>
    </r>
    <r>
      <rPr>
        <sz val="12"/>
        <rFont val="Arial Narrow"/>
        <family val="2"/>
      </rPr>
      <t>=140x140x15/35</t>
    </r>
  </si>
  <si>
    <r>
      <rPr>
        <b/>
        <sz val="12"/>
        <color rgb="FFFF0000"/>
        <rFont val="Arial Narrow"/>
        <family val="2"/>
      </rPr>
      <t>S6</t>
    </r>
    <r>
      <rPr>
        <sz val="12"/>
        <rFont val="Arial Narrow"/>
        <family val="2"/>
      </rPr>
      <t>=145x145x15/35</t>
    </r>
  </si>
  <si>
    <r>
      <rPr>
        <b/>
        <sz val="12"/>
        <color rgb="FFFF0000"/>
        <rFont val="Arial Narrow"/>
        <family val="2"/>
      </rPr>
      <t>S7</t>
    </r>
    <r>
      <rPr>
        <sz val="12"/>
        <rFont val="Arial Narrow"/>
        <family val="2"/>
      </rPr>
      <t>=145x145x15/40</t>
    </r>
  </si>
  <si>
    <r>
      <rPr>
        <b/>
        <sz val="12"/>
        <color rgb="FFFF0000"/>
        <rFont val="Arial Narrow"/>
        <family val="2"/>
      </rPr>
      <t>S8</t>
    </r>
    <r>
      <rPr>
        <sz val="12"/>
        <rFont val="Arial Narrow"/>
        <family val="2"/>
      </rPr>
      <t>=150x150x15/40</t>
    </r>
  </si>
  <si>
    <r>
      <rPr>
        <b/>
        <sz val="12"/>
        <color rgb="FFFF0000"/>
        <rFont val="Arial Narrow"/>
        <family val="2"/>
      </rPr>
      <t>S9</t>
    </r>
    <r>
      <rPr>
        <sz val="12"/>
        <rFont val="Arial Narrow"/>
        <family val="2"/>
      </rPr>
      <t>=155x155x15/40</t>
    </r>
  </si>
  <si>
    <r>
      <rPr>
        <b/>
        <sz val="11"/>
        <color rgb="FFFF0000"/>
        <rFont val="Arial Narrow"/>
        <family val="2"/>
      </rPr>
      <t>S10</t>
    </r>
    <r>
      <rPr>
        <sz val="11"/>
        <rFont val="Arial Narrow"/>
        <family val="2"/>
      </rPr>
      <t>=170x170x15/40</t>
    </r>
  </si>
  <si>
    <t>LONGUEUR TOTALE</t>
  </si>
  <si>
    <t>LONGUEUR</t>
  </si>
  <si>
    <t>NBRE SEMELLE</t>
  </si>
  <si>
    <t>NBRE FER</t>
  </si>
  <si>
    <r>
      <rPr>
        <sz val="9"/>
        <rFont val="Calibri"/>
        <family val="2"/>
      </rPr>
      <t>Ø</t>
    </r>
    <r>
      <rPr>
        <sz val="9"/>
        <rFont val="Arial Narrow"/>
        <family val="2"/>
      </rPr>
      <t xml:space="preserve"> FER</t>
    </r>
  </si>
  <si>
    <t>T 10</t>
  </si>
  <si>
    <t>Barre de montage</t>
  </si>
  <si>
    <t>FERRAILLAGE SEMELLE</t>
  </si>
  <si>
    <t>FERRAILLAGE ATTENTE POTEAU</t>
  </si>
  <si>
    <t>NBRE POTEAU</t>
  </si>
  <si>
    <r>
      <rPr>
        <b/>
        <sz val="12"/>
        <color rgb="FFFF0000"/>
        <rFont val="Arial Narrow"/>
        <family val="2"/>
      </rPr>
      <t>P</t>
    </r>
    <r>
      <rPr>
        <sz val="12"/>
        <rFont val="Arial Narrow"/>
        <family val="2"/>
      </rPr>
      <t>=20*20</t>
    </r>
  </si>
  <si>
    <t>T 12</t>
  </si>
  <si>
    <t>POTEAU</t>
  </si>
  <si>
    <t>LONG TOTAL</t>
  </si>
  <si>
    <t>T 6</t>
  </si>
  <si>
    <t>DALLAGE</t>
  </si>
  <si>
    <t>BA SEMELLE</t>
  </si>
  <si>
    <r>
      <t xml:space="preserve">BARRES </t>
    </r>
    <r>
      <rPr>
        <b/>
        <sz val="10"/>
        <rFont val="Calibri"/>
        <family val="2"/>
      </rPr>
      <t>Ø</t>
    </r>
    <r>
      <rPr>
        <b/>
        <sz val="10"/>
        <rFont val="Arial Narrow"/>
        <family val="2"/>
      </rPr>
      <t xml:space="preserve"> 10</t>
    </r>
  </si>
  <si>
    <r>
      <t xml:space="preserve">BARRES </t>
    </r>
    <r>
      <rPr>
        <b/>
        <sz val="10"/>
        <rFont val="Calibri"/>
        <family val="2"/>
      </rPr>
      <t>Ø</t>
    </r>
    <r>
      <rPr>
        <b/>
        <sz val="10"/>
        <rFont val="Arial Narrow"/>
        <family val="2"/>
      </rPr>
      <t xml:space="preserve"> 6</t>
    </r>
  </si>
  <si>
    <r>
      <t xml:space="preserve">BARRES </t>
    </r>
    <r>
      <rPr>
        <b/>
        <sz val="10"/>
        <rFont val="Calibri"/>
        <family val="2"/>
      </rPr>
      <t>Ø</t>
    </r>
    <r>
      <rPr>
        <b/>
        <sz val="10"/>
        <rFont val="Arial Narrow"/>
        <family val="2"/>
      </rPr>
      <t xml:space="preserve"> 12</t>
    </r>
  </si>
  <si>
    <t xml:space="preserve">Fourniture et mise en œuvre du béton armé dosé à 350kg/m3 de CEM I 42,5 pour les semelles, longrines et attentes poteaux </t>
  </si>
  <si>
    <t>BETON PROPRETE</t>
  </si>
  <si>
    <t>HAUTEUR</t>
  </si>
  <si>
    <t>EPAISSEUR</t>
  </si>
  <si>
    <t>BETON ARME LONGRINE</t>
  </si>
  <si>
    <t>BETON PROPRETE LONGRINE</t>
  </si>
  <si>
    <r>
      <rPr>
        <b/>
        <sz val="9"/>
        <rFont val="Calibri"/>
        <family val="2"/>
      </rPr>
      <t>Ø</t>
    </r>
    <r>
      <rPr>
        <b/>
        <sz val="9"/>
        <rFont val="Arial Narrow"/>
        <family val="2"/>
      </rPr>
      <t xml:space="preserve"> FER</t>
    </r>
  </si>
  <si>
    <t>DEVIS</t>
  </si>
  <si>
    <t>MO</t>
  </si>
  <si>
    <t>EMR</t>
  </si>
  <si>
    <t>LM</t>
  </si>
  <si>
    <t>BNFC</t>
  </si>
  <si>
    <t>OUVR BOIS 20%</t>
  </si>
  <si>
    <t>OUVR METLL 20%</t>
  </si>
  <si>
    <t>PEINTRE 20%</t>
  </si>
  <si>
    <t>PLOMBIER 20%</t>
  </si>
  <si>
    <t>ASSAIN 20%</t>
  </si>
  <si>
    <t>ELECT 20%</t>
  </si>
  <si>
    <t>T14</t>
  </si>
  <si>
    <t>FER 14</t>
  </si>
  <si>
    <t>Ø</t>
  </si>
  <si>
    <t>MAJORATION</t>
  </si>
  <si>
    <t>NOMBRE DES BARRES T6</t>
  </si>
  <si>
    <t>NOMBRE DES BARRES T8</t>
  </si>
  <si>
    <t>NOMBRE DES BARRES T10</t>
  </si>
  <si>
    <t>NOMBRE DES BARRES T12</t>
  </si>
  <si>
    <t>NOMBRE DES BARRES T14</t>
  </si>
  <si>
    <t>RESUME FERRAILLAGE INFRASTRUCTURE</t>
  </si>
  <si>
    <t>Attente poteau</t>
  </si>
  <si>
    <t>Dallage</t>
  </si>
  <si>
    <t>Longrine</t>
  </si>
  <si>
    <t>DESIGNATION</t>
  </si>
  <si>
    <t>Semelle isolée</t>
  </si>
  <si>
    <t>Fer tor 14</t>
  </si>
  <si>
    <t xml:space="preserve">BORDEREAU DE DETAIL DEVIS QUANTITATIFS </t>
  </si>
  <si>
    <t>Ciment Holcim Manda</t>
  </si>
  <si>
    <t>PU</t>
  </si>
  <si>
    <t>Béton de proprèté</t>
  </si>
  <si>
    <t>Ciment Lucky</t>
  </si>
  <si>
    <t>Sable</t>
  </si>
  <si>
    <t>Gravillon</t>
  </si>
  <si>
    <t>Hérissonnage</t>
  </si>
  <si>
    <t>Tor 6</t>
  </si>
  <si>
    <t>Béton armé</t>
  </si>
  <si>
    <t>Tor 8</t>
  </si>
  <si>
    <t>Tor 10</t>
  </si>
  <si>
    <t>Tor 12</t>
  </si>
  <si>
    <t>Tor 14</t>
  </si>
  <si>
    <t>Ciment Manda</t>
  </si>
  <si>
    <t>Planche de 4,00 m</t>
  </si>
  <si>
    <t>Pointe 40</t>
  </si>
  <si>
    <t>SUPERSTRUCTURE</t>
  </si>
  <si>
    <t>Maçonnerie des briques</t>
  </si>
  <si>
    <t>Transport des matériaux</t>
  </si>
  <si>
    <t>voyage</t>
  </si>
  <si>
    <t>Béton armé Q350</t>
  </si>
  <si>
    <t>Main d'œuvre</t>
  </si>
  <si>
    <t>fft</t>
  </si>
  <si>
    <t>FERRAILLAGE POUTRE</t>
  </si>
  <si>
    <t>FERRAILLAGE ESCALIER</t>
  </si>
  <si>
    <t>chainage</t>
  </si>
  <si>
    <t>palier</t>
  </si>
  <si>
    <t>marche</t>
  </si>
  <si>
    <t>paillasse</t>
  </si>
  <si>
    <t>semelle</t>
  </si>
  <si>
    <t>ARMATURES</t>
  </si>
  <si>
    <t>ESCALIER</t>
  </si>
  <si>
    <t>POUTRE</t>
  </si>
  <si>
    <t>DALLE</t>
  </si>
  <si>
    <t>CHAINAGE</t>
  </si>
  <si>
    <t>Installation de chantier et main d'œuvre</t>
  </si>
  <si>
    <t>Fourniture et mise en œuvre du béton dosé à 250kg/m3 de CEM I 42,5 d'épaisseur de 0,08 m pour dallage</t>
  </si>
  <si>
    <t>FERRAILLAGE CHENEAU</t>
  </si>
  <si>
    <t>BORDEREAU DU DETAIL DEVIS ESTIMATIF</t>
  </si>
  <si>
    <t xml:space="preserve">EXTENSION  D'UN BATIMENT </t>
  </si>
  <si>
    <t>SERIE N° 3 : BETONS ET MACONNERIES EN INFRASTRUCTURE ET SUPERSTRUCTURE</t>
  </si>
  <si>
    <t>Fourniture et mise en œuvre d'hérissonnage en pierre sèche d'épaisseur de 0,12 m</t>
  </si>
  <si>
    <t xml:space="preserve">Maçonnerie de moellons hourdé au mortier de ciment dosé à 300 kg/m3            </t>
  </si>
  <si>
    <t>III-8</t>
  </si>
  <si>
    <t>TOTAL BETONS ET MACONNERIES EN INFRASTRUCTURE ET SUPERSTRUCTURE</t>
  </si>
  <si>
    <t>Enduit ordinaire au mortier de ciment dosé à 300kg/m3 d'épaisseur de 0,02 m pour les murs, les plafonds et les faces vues du béton</t>
  </si>
  <si>
    <t>Fourniture et pose solin en TPG de 50/100ème d'épaisseur, y compris fixation et toutes sujétions de pose.</t>
  </si>
  <si>
    <t>Pose des tôles Galvabac existantes, y compris fixation et toutes sujétions de pose.</t>
  </si>
  <si>
    <t>Plomberie sanitaire</t>
  </si>
  <si>
    <t>Installation électrique</t>
  </si>
  <si>
    <t>Fourniture et mise en œuvre du béton armé dosé à 350kg/m3 de CEM I 42,5 pour les semelles isolées, filantes, les poteaux, poutres, dalles, linteaux, auvent, appuis de baie,  chaînages</t>
  </si>
  <si>
    <t>CONSTRUCTION DE CLOTURE EN MACONNERIE DE BRIQUES</t>
  </si>
  <si>
    <t>Fourniture et mise en œuvre du béton armé dosé à 350kg/m3 de CEM I 42,5 pour les semelles filantes, les poteaux, auvent, chaînages et chaperons</t>
  </si>
  <si>
    <t>SERIE N° 5: ENDUIT ET CHAPE</t>
  </si>
  <si>
    <t>TOTAL ENDUIT ET CHAPE</t>
  </si>
  <si>
    <t>Ciment Orimbato</t>
  </si>
  <si>
    <t>Planche pin de 2,00 m, largeur de 14 cm</t>
  </si>
  <si>
    <t>Brique artisanale</t>
  </si>
  <si>
    <t>Carreau 30x30</t>
  </si>
  <si>
    <t>Madrier 7x17 de 4,00 m</t>
  </si>
  <si>
    <t>Chevron 10x10 de 4,00 m</t>
  </si>
  <si>
    <t>Solin en TPG de 2,50 m</t>
  </si>
  <si>
    <t>Cale tôle</t>
  </si>
  <si>
    <t>Tire fonds</t>
  </si>
  <si>
    <t>Cavalier</t>
  </si>
  <si>
    <t>Rondelle</t>
  </si>
  <si>
    <t>Volige pin de 10</t>
  </si>
  <si>
    <t>Gorge pin</t>
  </si>
  <si>
    <t>Pointe 40 TH</t>
  </si>
  <si>
    <t>Porte de communication 90*205</t>
  </si>
  <si>
    <t>Peinture eau intérieure</t>
  </si>
  <si>
    <t>Peinture eau extérieure</t>
  </si>
  <si>
    <t>Rouleau PM</t>
  </si>
  <si>
    <t>Pinceau</t>
  </si>
  <si>
    <t>paquet</t>
  </si>
  <si>
    <t>TOTAL MATERIAUX</t>
  </si>
  <si>
    <t>TRANSPORT</t>
  </si>
  <si>
    <t>MAIN D'ŒUVRE</t>
  </si>
  <si>
    <t>CONDUCTEUR DES TX</t>
  </si>
  <si>
    <t>DEVIS BDE</t>
  </si>
  <si>
    <t>BENEFICE</t>
  </si>
  <si>
    <t>LISTE DES MATERIAUX A UTILISER (EXTENSION)</t>
  </si>
  <si>
    <t>LISTE DES MATERIAUX A UTILISER (TAMBOHO)</t>
  </si>
  <si>
    <t>Bois rond de 4,00 m de diamètre 8 à 10 cm</t>
  </si>
  <si>
    <t>Porte pleine 140*205</t>
  </si>
  <si>
    <t>Chassis vitré 120*120</t>
  </si>
  <si>
    <t>Chassis vitré 90*120</t>
  </si>
  <si>
    <t xml:space="preserve">Grille de protection </t>
  </si>
  <si>
    <t>Fourniture et pose de grille de protection pour les chassis vitrés de dimension de 120x120, 90x120, 140*205</t>
  </si>
  <si>
    <t>Fourniture et pose de porte pleine avec bâtis en bois dur  à un vantail de dimension de 140 x 205</t>
  </si>
  <si>
    <t>III-9</t>
  </si>
  <si>
    <r>
      <t xml:space="preserve">Arrêté le présent bordereau de détail quantitatif et estimatif à la somme de </t>
    </r>
    <r>
      <rPr>
        <b/>
        <sz val="10"/>
        <rFont val="Arial Narrow"/>
        <family val="2"/>
      </rPr>
      <t>"TRENTE QUATRE MILLIONS CINQ CENT MILLE QUATRE CENT QUARANTE CINQ ARIARY " (Ar 34 500 445)</t>
    </r>
  </si>
  <si>
    <t>Fourniture et mise en œuvre du béton armé dosé à 350kg/m3 de CEM I 42,5 pour les semelles isolées, filantes, les poteaux, poutres,linteaux, auvent, appuis de baie,  chaînages</t>
  </si>
  <si>
    <r>
      <t xml:space="preserve">Arrêté le présent bordereau de détail quantitatif et estimatif à la somme de </t>
    </r>
    <r>
      <rPr>
        <b/>
        <sz val="10"/>
        <rFont val="Arial Narrow"/>
        <family val="2"/>
      </rPr>
      <t>"QUARANTE DEUX MILLIONS QUATRE CENT QUATRE VINGT DIX NEUF MILLE CENT CINQUANTE ARIARY " (Ar 42 499 150)</t>
    </r>
  </si>
  <si>
    <t>Fournture et mise en œuvre d'enduit étanche au mortier de ciment dosé à 400kg/m3 pour le chaperon</t>
  </si>
  <si>
    <r>
      <t xml:space="preserve">Arrêté le présent bordereau de détail quantitatif et estimatif à la somme de </t>
    </r>
    <r>
      <rPr>
        <b/>
        <sz val="10"/>
        <rFont val="Arial Narrow"/>
        <family val="2"/>
      </rPr>
      <t>"VINGT CINQ MILLIONS DEUX MILLE DEUX CENT VINGT ARIARY " (Ar 25 002 220)</t>
    </r>
  </si>
  <si>
    <r>
      <t xml:space="preserve">Arrêté le présent bordereau de détail quantitatif et estimatif à la somme de </t>
    </r>
    <r>
      <rPr>
        <b/>
        <sz val="10"/>
        <color theme="1"/>
        <rFont val="Arial Narrow"/>
        <family val="2"/>
      </rPr>
      <t>"DIX SEPT MILLIONS QUARANTE SEPT MILLE CINQ CENT SOIXANTE CINQ ARIARY " (Ar 17 047 565)</t>
    </r>
  </si>
  <si>
    <t>FOUILLE</t>
  </si>
  <si>
    <t>Longueur</t>
  </si>
  <si>
    <t>Largeur</t>
  </si>
  <si>
    <t>Epaisseur</t>
  </si>
  <si>
    <t>Volume</t>
  </si>
  <si>
    <t>BP Q150</t>
  </si>
  <si>
    <t>SEMELLE Q350</t>
  </si>
  <si>
    <t>MAC MOELLONS</t>
  </si>
  <si>
    <t>CHAINAGE Q350</t>
  </si>
  <si>
    <t>POTEAU Q350</t>
  </si>
  <si>
    <t>CHAPERON Q350</t>
  </si>
  <si>
    <t>ENDUIT Q300</t>
  </si>
  <si>
    <t>CHAPE Q350</t>
  </si>
  <si>
    <t>COFFRAGE</t>
  </si>
  <si>
    <t>MAC BRIQUES</t>
  </si>
  <si>
    <t>Brique artisanale 20*10*6</t>
  </si>
  <si>
    <t>CIMENT</t>
  </si>
  <si>
    <t>SABLE</t>
  </si>
  <si>
    <t>GRAVILLON</t>
  </si>
  <si>
    <t>OUVRIER</t>
  </si>
  <si>
    <t>CCHANTIER</t>
  </si>
  <si>
    <t>CTRAVAUX</t>
  </si>
  <si>
    <t>HEURE/JOUR</t>
  </si>
  <si>
    <t>COEFFICIENT</t>
  </si>
  <si>
    <t>BETON  Q 350</t>
  </si>
  <si>
    <t>BETON  Q 300</t>
  </si>
  <si>
    <t>BETON  Q 150</t>
  </si>
  <si>
    <t>MACONNERIE DE MOELLONS</t>
  </si>
  <si>
    <t>MOELLON</t>
  </si>
  <si>
    <t>MACONNERIE DE BRIQUES</t>
  </si>
  <si>
    <t>BRIQUES</t>
  </si>
  <si>
    <t>ENDUIT Q300, EP: 2 CM</t>
  </si>
  <si>
    <t>CHAPE Q400, EP: 2 CM</t>
  </si>
  <si>
    <t>BLOCAGE</t>
  </si>
  <si>
    <t>Fournture et mise en œuvre d'enduit étanche au mortier de ciment dosé à 350kg/m3 d'épaisseur de 0,02 m pour le chaperon</t>
  </si>
  <si>
    <r>
      <t xml:space="preserve">Arrêté le présent bordereau de détail quantitatif et estimatif à la somme de </t>
    </r>
    <r>
      <rPr>
        <b/>
        <sz val="10"/>
        <rFont val="Arial Narrow"/>
        <family val="2"/>
      </rPr>
      <t>"QUATRE CENTS TRENTE DEUX MILLIONS QUATRE VINGT TREIZE MILLE HUIT CENT CINQ ARIARY " (Ar 432 093 805)</t>
    </r>
  </si>
</sst>
</file>

<file path=xl/styles.xml><?xml version="1.0" encoding="utf-8"?>
<styleSheet xmlns="http://schemas.openxmlformats.org/spreadsheetml/2006/main">
  <numFmts count="12">
    <numFmt numFmtId="43" formatCode="_-* #,##0.00\ _€_-;\-* #,##0.00\ _€_-;_-* &quot;-&quot;??\ _€_-;_-@_-"/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  <numFmt numFmtId="168" formatCode="_-* #,##0.000\ _F_-;\-* #,##0.000\ _F_-;_-* &quot;-&quot;??\ _F_-;_-@_-"/>
    <numFmt numFmtId="169" formatCode="_-* #,##0\ _€_-;\-* #,##0\ _€_-;_-* &quot;-&quot;??\ _€_-;_-@_-"/>
    <numFmt numFmtId="170" formatCode="_-* #,##0.00\ _€_-;\-* #,##0.00\ _€_-;_-* &quot;-&quot;???\ _€_-;_-@_-"/>
    <numFmt numFmtId="171" formatCode="#,##0.00_ ;\-#,##0.00\ "/>
    <numFmt numFmtId="172" formatCode="_-* #,##0.000\ _€_-;\-* #,##0.000\ _€_-;_-* &quot;-&quot;???\ _€_-;_-@_-"/>
    <numFmt numFmtId="173" formatCode="_-* #,##0.0\ _F_-;\-* #,##0.0\ _F_-;_-* &quot;-&quot;??\ _F_-;_-@_-"/>
    <numFmt numFmtId="174" formatCode="_-* #,##0.0\ _€_-;\-* #,##0.0\ _€_-;_-* &quot;-&quot;??\ _€_-;_-@_-"/>
  </numFmts>
  <fonts count="50">
    <font>
      <sz val="10"/>
      <name val="Arial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i/>
      <sz val="10"/>
      <name val="Arial Narrow"/>
      <family val="2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i/>
      <sz val="9"/>
      <name val="Arial Narrow"/>
      <family val="2"/>
    </font>
    <font>
      <b/>
      <i/>
      <sz val="9"/>
      <name val="Arial Narrow"/>
      <family val="2"/>
    </font>
    <font>
      <b/>
      <i/>
      <sz val="9"/>
      <color rgb="FFFF0000"/>
      <name val="Arial Narrow"/>
      <family val="2"/>
    </font>
    <font>
      <i/>
      <sz val="9"/>
      <color rgb="FFFF0000"/>
      <name val="Arial Narrow"/>
      <family val="2"/>
    </font>
    <font>
      <b/>
      <i/>
      <u/>
      <sz val="12"/>
      <name val="Arial Narrow"/>
      <family val="2"/>
    </font>
    <font>
      <sz val="11"/>
      <name val="Arial Narrow"/>
      <family val="2"/>
    </font>
    <font>
      <sz val="10"/>
      <color rgb="FFFF0000"/>
      <name val="Arial"/>
      <family val="2"/>
    </font>
    <font>
      <sz val="10"/>
      <color rgb="FF000099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 Narrow"/>
      <family val="2"/>
    </font>
    <font>
      <b/>
      <sz val="12"/>
      <color theme="1"/>
      <name val="Arial Narrow"/>
      <family val="2"/>
    </font>
    <font>
      <b/>
      <sz val="10"/>
      <color rgb="FF000099"/>
      <name val="Arial"/>
      <family val="2"/>
    </font>
    <font>
      <b/>
      <sz val="14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2"/>
      <name val="Arial"/>
      <family val="2"/>
    </font>
    <font>
      <b/>
      <sz val="12"/>
      <color rgb="FF000000"/>
      <name val="Arial Narrow"/>
      <family val="2"/>
    </font>
    <font>
      <sz val="12"/>
      <name val="Arial Narrow"/>
      <family val="2"/>
    </font>
    <font>
      <sz val="9"/>
      <name val="Arial Narrow"/>
      <family val="2"/>
    </font>
    <font>
      <b/>
      <sz val="12"/>
      <color rgb="FFFF0000"/>
      <name val="Arial Narrow"/>
      <family val="2"/>
    </font>
    <font>
      <b/>
      <sz val="10"/>
      <color rgb="FF000099"/>
      <name val="Arial Narrow"/>
      <family val="2"/>
    </font>
    <font>
      <b/>
      <sz val="11"/>
      <color rgb="FFFF0000"/>
      <name val="Arial Narrow"/>
      <family val="2"/>
    </font>
    <font>
      <sz val="9"/>
      <name val="Calibri"/>
      <family val="2"/>
    </font>
    <font>
      <b/>
      <sz val="10"/>
      <color rgb="FFFF0000"/>
      <name val="Arial Narrow"/>
      <family val="2"/>
    </font>
    <font>
      <b/>
      <u/>
      <sz val="10"/>
      <color rgb="FFFF00FF"/>
      <name val="Arial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9"/>
      <name val="Arial Narrow"/>
      <family val="2"/>
    </font>
    <font>
      <b/>
      <sz val="9"/>
      <name val="Calibri"/>
      <family val="2"/>
    </font>
    <font>
      <b/>
      <sz val="10"/>
      <color rgb="FFFF00FF"/>
      <name val="Arial Narrow"/>
      <family val="2"/>
    </font>
    <font>
      <b/>
      <sz val="10"/>
      <color theme="1"/>
      <name val="Arial Narrow"/>
      <family val="2"/>
    </font>
    <font>
      <sz val="10"/>
      <color rgb="FF000099"/>
      <name val="Arial Narrow"/>
      <family val="2"/>
    </font>
    <font>
      <b/>
      <sz val="11"/>
      <color rgb="FF000099"/>
      <name val="Arial Narrow"/>
      <family val="2"/>
    </font>
    <font>
      <b/>
      <u/>
      <sz val="11"/>
      <color theme="1"/>
      <name val="Arial"/>
      <family val="2"/>
    </font>
    <font>
      <b/>
      <sz val="11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0">
    <xf numFmtId="0" fontId="0" fillId="0" borderId="0" xfId="0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164" fontId="3" fillId="2" borderId="0" xfId="1" applyFont="1" applyFill="1"/>
    <xf numFmtId="0" fontId="3" fillId="2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top"/>
    </xf>
    <xf numFmtId="3" fontId="3" fillId="2" borderId="7" xfId="0" applyNumberFormat="1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center" vertical="top"/>
    </xf>
    <xf numFmtId="165" fontId="3" fillId="2" borderId="7" xfId="0" applyNumberFormat="1" applyFont="1" applyFill="1" applyBorder="1" applyAlignment="1">
      <alignment horizontal="center" vertical="top"/>
    </xf>
    <xf numFmtId="0" fontId="3" fillId="2" borderId="7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165" fontId="3" fillId="2" borderId="7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4" fontId="3" fillId="2" borderId="7" xfId="0" applyNumberFormat="1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167" fontId="3" fillId="2" borderId="0" xfId="1" applyNumberFormat="1" applyFont="1" applyFill="1"/>
    <xf numFmtId="164" fontId="2" fillId="2" borderId="1" xfId="1" applyFont="1" applyFill="1" applyBorder="1" applyAlignment="1">
      <alignment horizontal="center" vertical="center"/>
    </xf>
    <xf numFmtId="167" fontId="2" fillId="2" borderId="1" xfId="1" applyNumberFormat="1" applyFont="1" applyFill="1" applyBorder="1" applyAlignment="1">
      <alignment horizontal="center" vertical="center"/>
    </xf>
    <xf numFmtId="167" fontId="3" fillId="2" borderId="2" xfId="1" applyNumberFormat="1" applyFont="1" applyFill="1" applyBorder="1"/>
    <xf numFmtId="3" fontId="3" fillId="2" borderId="7" xfId="0" applyNumberFormat="1" applyFont="1" applyFill="1" applyBorder="1" applyAlignment="1">
      <alignment horizontal="left"/>
    </xf>
    <xf numFmtId="167" fontId="3" fillId="2" borderId="7" xfId="1" applyNumberFormat="1" applyFont="1" applyFill="1" applyBorder="1"/>
    <xf numFmtId="16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left"/>
    </xf>
    <xf numFmtId="164" fontId="3" fillId="2" borderId="12" xfId="1" applyFont="1" applyFill="1" applyBorder="1"/>
    <xf numFmtId="167" fontId="3" fillId="2" borderId="3" xfId="1" applyNumberFormat="1" applyFont="1" applyFill="1" applyBorder="1"/>
    <xf numFmtId="165" fontId="3" fillId="2" borderId="3" xfId="0" applyNumberFormat="1" applyFont="1" applyFill="1" applyBorder="1" applyAlignment="1">
      <alignment horizontal="center" vertical="top"/>
    </xf>
    <xf numFmtId="164" fontId="3" fillId="2" borderId="12" xfId="1" applyFont="1" applyFill="1" applyBorder="1" applyAlignment="1"/>
    <xf numFmtId="167" fontId="3" fillId="2" borderId="3" xfId="1" applyNumberFormat="1" applyFont="1" applyFill="1" applyBorder="1" applyAlignment="1"/>
    <xf numFmtId="4" fontId="3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/>
    <xf numFmtId="3" fontId="3" fillId="2" borderId="7" xfId="0" applyNumberFormat="1" applyFont="1" applyFill="1" applyBorder="1" applyAlignment="1">
      <alignment wrapText="1"/>
    </xf>
    <xf numFmtId="3" fontId="3" fillId="2" borderId="7" xfId="0" applyNumberFormat="1" applyFont="1" applyFill="1" applyBorder="1" applyAlignment="1"/>
    <xf numFmtId="3" fontId="3" fillId="2" borderId="3" xfId="0" applyNumberFormat="1" applyFont="1" applyFill="1" applyBorder="1" applyAlignment="1"/>
    <xf numFmtId="3" fontId="3" fillId="2" borderId="3" xfId="0" applyNumberFormat="1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left" wrapText="1"/>
    </xf>
    <xf numFmtId="164" fontId="3" fillId="2" borderId="11" xfId="1" applyFont="1" applyFill="1" applyBorder="1"/>
    <xf numFmtId="167" fontId="7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7" fontId="7" fillId="2" borderId="5" xfId="1" applyNumberFormat="1" applyFont="1" applyFill="1" applyBorder="1" applyAlignment="1">
      <alignment horizontal="center" vertical="center" wrapText="1"/>
    </xf>
    <xf numFmtId="167" fontId="7" fillId="2" borderId="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3" fontId="3" fillId="2" borderId="0" xfId="0" applyNumberFormat="1" applyFont="1" applyFill="1" applyBorder="1" applyAlignment="1">
      <alignment horizontal="left" wrapText="1"/>
    </xf>
    <xf numFmtId="164" fontId="3" fillId="2" borderId="13" xfId="1" applyFont="1" applyFill="1" applyBorder="1"/>
    <xf numFmtId="3" fontId="3" fillId="2" borderId="0" xfId="0" applyNumberFormat="1" applyFont="1" applyFill="1" applyBorder="1" applyAlignment="1">
      <alignment horizontal="center"/>
    </xf>
    <xf numFmtId="164" fontId="3" fillId="2" borderId="0" xfId="1" applyFont="1" applyFill="1" applyBorder="1"/>
    <xf numFmtId="3" fontId="3" fillId="2" borderId="1" xfId="0" applyNumberFormat="1" applyFont="1" applyFill="1" applyBorder="1" applyAlignment="1">
      <alignment horizontal="center"/>
    </xf>
    <xf numFmtId="164" fontId="3" fillId="2" borderId="1" xfId="1" applyFont="1" applyFill="1" applyBorder="1"/>
    <xf numFmtId="167" fontId="3" fillId="2" borderId="1" xfId="1" applyNumberFormat="1" applyFont="1" applyFill="1" applyBorder="1"/>
    <xf numFmtId="0" fontId="3" fillId="0" borderId="1" xfId="0" applyFont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164" fontId="3" fillId="2" borderId="2" xfId="1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164" fontId="3" fillId="2" borderId="3" xfId="1" applyFont="1" applyFill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7" fontId="3" fillId="2" borderId="7" xfId="1" applyNumberFormat="1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167" fontId="3" fillId="2" borderId="2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167" fontId="3" fillId="2" borderId="0" xfId="1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164" fontId="3" fillId="2" borderId="7" xfId="1" applyFont="1" applyFill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/>
    </xf>
    <xf numFmtId="164" fontId="3" fillId="2" borderId="8" xfId="1" applyFont="1" applyFill="1" applyBorder="1"/>
    <xf numFmtId="164" fontId="3" fillId="0" borderId="1" xfId="1" applyFont="1" applyBorder="1" applyAlignment="1"/>
    <xf numFmtId="167" fontId="3" fillId="0" borderId="1" xfId="1" applyNumberFormat="1" applyFont="1" applyBorder="1" applyAlignment="1">
      <alignment horizontal="center"/>
    </xf>
    <xf numFmtId="164" fontId="3" fillId="0" borderId="1" xfId="1" applyFont="1" applyBorder="1" applyAlignment="1">
      <alignment horizontal="center"/>
    </xf>
    <xf numFmtId="3" fontId="3" fillId="2" borderId="1" xfId="0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3" fontId="3" fillId="2" borderId="2" xfId="0" applyNumberFormat="1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4" fontId="3" fillId="2" borderId="2" xfId="1" applyFont="1" applyFill="1" applyBorder="1" applyAlignment="1"/>
    <xf numFmtId="164" fontId="3" fillId="2" borderId="7" xfId="1" applyFont="1" applyFill="1" applyBorder="1" applyAlignment="1"/>
    <xf numFmtId="0" fontId="5" fillId="0" borderId="7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/>
    <xf numFmtId="164" fontId="3" fillId="0" borderId="0" xfId="1" applyFont="1"/>
    <xf numFmtId="164" fontId="3" fillId="0" borderId="0" xfId="1" applyFont="1" applyAlignment="1"/>
    <xf numFmtId="0" fontId="3" fillId="0" borderId="0" xfId="0" applyFont="1" applyAlignment="1"/>
    <xf numFmtId="167" fontId="9" fillId="2" borderId="5" xfId="1" applyNumberFormat="1" applyFont="1" applyFill="1" applyBorder="1" applyAlignment="1">
      <alignment horizontal="center" vertical="center" wrapText="1"/>
    </xf>
    <xf numFmtId="167" fontId="3" fillId="2" borderId="2" xfId="1" applyNumberFormat="1" applyFont="1" applyFill="1" applyBorder="1" applyAlignment="1"/>
    <xf numFmtId="2" fontId="3" fillId="2" borderId="1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168" fontId="3" fillId="2" borderId="0" xfId="1" applyNumberFormat="1" applyFont="1" applyFill="1"/>
    <xf numFmtId="168" fontId="3" fillId="2" borderId="0" xfId="1" applyNumberFormat="1" applyFont="1" applyFill="1" applyBorder="1"/>
    <xf numFmtId="168" fontId="3" fillId="2" borderId="3" xfId="1" applyNumberFormat="1" applyFont="1" applyFill="1" applyBorder="1"/>
    <xf numFmtId="168" fontId="3" fillId="2" borderId="12" xfId="1" applyNumberFormat="1" applyFont="1" applyFill="1" applyBorder="1"/>
    <xf numFmtId="164" fontId="3" fillId="2" borderId="13" xfId="1" applyFont="1" applyFill="1" applyBorder="1" applyAlignment="1">
      <alignment horizontal="center" vertical="center"/>
    </xf>
    <xf numFmtId="167" fontId="3" fillId="2" borderId="2" xfId="1" applyNumberFormat="1" applyFont="1" applyFill="1" applyBorder="1" applyAlignment="1">
      <alignment horizontal="center"/>
    </xf>
    <xf numFmtId="167" fontId="3" fillId="2" borderId="8" xfId="1" applyNumberFormat="1" applyFont="1" applyFill="1" applyBorder="1"/>
    <xf numFmtId="167" fontId="3" fillId="2" borderId="11" xfId="1" applyNumberFormat="1" applyFont="1" applyFill="1" applyBorder="1"/>
    <xf numFmtId="167" fontId="3" fillId="2" borderId="1" xfId="1" applyNumberFormat="1" applyFont="1" applyFill="1" applyBorder="1" applyAlignment="1"/>
    <xf numFmtId="0" fontId="3" fillId="2" borderId="0" xfId="0" applyFont="1" applyFill="1" applyAlignment="1"/>
    <xf numFmtId="167" fontId="3" fillId="2" borderId="0" xfId="1" applyNumberFormat="1" applyFont="1" applyFill="1" applyAlignment="1"/>
    <xf numFmtId="167" fontId="3" fillId="2" borderId="3" xfId="1" applyNumberFormat="1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6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9" xfId="1" applyFont="1" applyFill="1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0" fontId="3" fillId="2" borderId="7" xfId="0" applyFont="1" applyFill="1" applyBorder="1" applyAlignment="1">
      <alignment horizontal="left"/>
    </xf>
    <xf numFmtId="164" fontId="3" fillId="2" borderId="0" xfId="1" applyFont="1" applyFill="1" applyBorder="1" applyAlignment="1">
      <alignment horizontal="center"/>
    </xf>
    <xf numFmtId="167" fontId="3" fillId="2" borderId="7" xfId="1" applyNumberFormat="1" applyFont="1" applyFill="1" applyBorder="1" applyAlignment="1">
      <alignment horizontal="center"/>
    </xf>
    <xf numFmtId="164" fontId="3" fillId="2" borderId="12" xfId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left"/>
    </xf>
    <xf numFmtId="164" fontId="3" fillId="2" borderId="9" xfId="1" applyFont="1" applyFill="1" applyBorder="1"/>
    <xf numFmtId="167" fontId="3" fillId="0" borderId="1" xfId="1" applyNumberFormat="1" applyFont="1" applyBorder="1" applyAlignment="1"/>
    <xf numFmtId="3" fontId="12" fillId="2" borderId="1" xfId="0" applyNumberFormat="1" applyFont="1" applyFill="1" applyBorder="1" applyAlignment="1">
      <alignment horizontal="left" wrapText="1"/>
    </xf>
    <xf numFmtId="0" fontId="12" fillId="0" borderId="0" xfId="0" applyFont="1"/>
    <xf numFmtId="0" fontId="12" fillId="0" borderId="0" xfId="0" applyFont="1" applyAlignment="1">
      <alignment horizontal="center"/>
    </xf>
    <xf numFmtId="167" fontId="12" fillId="0" borderId="0" xfId="1" applyNumberFormat="1" applyFont="1"/>
    <xf numFmtId="0" fontId="13" fillId="0" borderId="1" xfId="0" applyFont="1" applyBorder="1" applyAlignment="1">
      <alignment horizontal="center" vertical="center"/>
    </xf>
    <xf numFmtId="167" fontId="13" fillId="0" borderId="1" xfId="1" applyNumberFormat="1" applyFont="1" applyBorder="1" applyAlignment="1">
      <alignment horizontal="center" vertical="center"/>
    </xf>
    <xf numFmtId="3" fontId="12" fillId="2" borderId="3" xfId="0" applyNumberFormat="1" applyFont="1" applyFill="1" applyBorder="1" applyAlignment="1">
      <alignment horizontal="left" wrapText="1"/>
    </xf>
    <xf numFmtId="3" fontId="12" fillId="2" borderId="3" xfId="0" applyNumberFormat="1" applyFont="1" applyFill="1" applyBorder="1" applyAlignment="1">
      <alignment horizontal="center" wrapText="1"/>
    </xf>
    <xf numFmtId="167" fontId="12" fillId="0" borderId="1" xfId="1" applyNumberFormat="1" applyFont="1" applyBorder="1"/>
    <xf numFmtId="3" fontId="12" fillId="2" borderId="1" xfId="0" applyNumberFormat="1" applyFont="1" applyFill="1" applyBorder="1" applyAlignment="1">
      <alignment horizontal="left"/>
    </xf>
    <xf numFmtId="3" fontId="12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/>
    <xf numFmtId="167" fontId="12" fillId="0" borderId="1" xfId="1" applyNumberFormat="1" applyFont="1" applyBorder="1" applyAlignment="1"/>
    <xf numFmtId="3" fontId="12" fillId="2" borderId="12" xfId="0" applyNumberFormat="1" applyFont="1" applyFill="1" applyBorder="1" applyAlignment="1">
      <alignment horizontal="left"/>
    </xf>
    <xf numFmtId="3" fontId="12" fillId="2" borderId="12" xfId="0" applyNumberFormat="1" applyFont="1" applyFill="1" applyBorder="1" applyAlignment="1">
      <alignment horizontal="center"/>
    </xf>
    <xf numFmtId="167" fontId="12" fillId="0" borderId="12" xfId="1" applyNumberFormat="1" applyFont="1" applyBorder="1"/>
    <xf numFmtId="3" fontId="12" fillId="2" borderId="1" xfId="0" applyNumberFormat="1" applyFont="1" applyFill="1" applyBorder="1" applyAlignment="1">
      <alignment horizontal="left" vertical="center"/>
    </xf>
    <xf numFmtId="3" fontId="12" fillId="2" borderId="9" xfId="0" applyNumberFormat="1" applyFont="1" applyFill="1" applyBorder="1" applyAlignment="1">
      <alignment horizontal="left"/>
    </xf>
    <xf numFmtId="3" fontId="12" fillId="2" borderId="9" xfId="0" applyNumberFormat="1" applyFont="1" applyFill="1" applyBorder="1" applyAlignment="1">
      <alignment horizontal="center"/>
    </xf>
    <xf numFmtId="167" fontId="12" fillId="0" borderId="9" xfId="1" applyNumberFormat="1" applyFont="1" applyBorder="1"/>
    <xf numFmtId="0" fontId="12" fillId="2" borderId="1" xfId="0" applyFont="1" applyFill="1" applyBorder="1" applyAlignment="1">
      <alignment wrapText="1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3" fontId="12" fillId="2" borderId="9" xfId="0" applyNumberFormat="1" applyFont="1" applyFill="1" applyBorder="1" applyAlignment="1">
      <alignment horizontal="left" vertical="center"/>
    </xf>
    <xf numFmtId="3" fontId="12" fillId="2" borderId="9" xfId="0" applyNumberFormat="1" applyFont="1" applyFill="1" applyBorder="1" applyAlignment="1">
      <alignment horizontal="center" wrapText="1"/>
    </xf>
    <xf numFmtId="167" fontId="12" fillId="0" borderId="1" xfId="1" applyNumberFormat="1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wrapText="1"/>
    </xf>
    <xf numFmtId="0" fontId="3" fillId="2" borderId="13" xfId="0" applyFont="1" applyFill="1" applyBorder="1" applyAlignment="1">
      <alignment horizontal="center"/>
    </xf>
    <xf numFmtId="167" fontId="3" fillId="2" borderId="13" xfId="1" applyNumberFormat="1" applyFont="1" applyFill="1" applyBorder="1"/>
    <xf numFmtId="164" fontId="3" fillId="2" borderId="1" xfId="1" applyFont="1" applyFill="1" applyBorder="1" applyAlignment="1"/>
    <xf numFmtId="3" fontId="3" fillId="2" borderId="4" xfId="0" applyNumberFormat="1" applyFont="1" applyFill="1" applyBorder="1" applyAlignment="1">
      <alignment horizontal="left"/>
    </xf>
    <xf numFmtId="3" fontId="3" fillId="2" borderId="4" xfId="0" applyNumberFormat="1" applyFont="1" applyFill="1" applyBorder="1" applyAlignment="1">
      <alignment wrapText="1"/>
    </xf>
    <xf numFmtId="3" fontId="3" fillId="2" borderId="4" xfId="0" applyNumberFormat="1" applyFont="1" applyFill="1" applyBorder="1" applyAlignment="1">
      <alignment horizontal="left" wrapText="1"/>
    </xf>
    <xf numFmtId="3" fontId="3" fillId="2" borderId="4" xfId="0" applyNumberFormat="1" applyFont="1" applyFill="1" applyBorder="1" applyAlignment="1"/>
    <xf numFmtId="0" fontId="3" fillId="2" borderId="4" xfId="0" applyFont="1" applyFill="1" applyBorder="1" applyAlignment="1">
      <alignment horizontal="left" vertical="center"/>
    </xf>
    <xf numFmtId="164" fontId="3" fillId="2" borderId="0" xfId="1" applyFont="1" applyFill="1" applyAlignment="1">
      <alignment horizontal="center"/>
    </xf>
    <xf numFmtId="164" fontId="3" fillId="2" borderId="0" xfId="1" applyFont="1" applyFill="1" applyAlignment="1"/>
    <xf numFmtId="164" fontId="2" fillId="2" borderId="0" xfId="1" applyFont="1" applyFill="1" applyBorder="1"/>
    <xf numFmtId="43" fontId="2" fillId="2" borderId="1" xfId="0" applyNumberFormat="1" applyFont="1" applyFill="1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69" fontId="3" fillId="2" borderId="1" xfId="1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167" fontId="2" fillId="2" borderId="1" xfId="0" applyNumberFormat="1" applyFont="1" applyFill="1" applyBorder="1" applyAlignment="1">
      <alignment horizontal="center"/>
    </xf>
    <xf numFmtId="167" fontId="2" fillId="2" borderId="2" xfId="1" applyNumberFormat="1" applyFont="1" applyFill="1" applyBorder="1" applyAlignment="1">
      <alignment horizontal="center"/>
    </xf>
    <xf numFmtId="164" fontId="3" fillId="2" borderId="0" xfId="1" applyFont="1" applyFill="1" applyBorder="1" applyAlignment="1"/>
    <xf numFmtId="167" fontId="3" fillId="2" borderId="11" xfId="1" applyNumberFormat="1" applyFont="1" applyFill="1" applyBorder="1" applyAlignment="1"/>
    <xf numFmtId="164" fontId="2" fillId="2" borderId="0" xfId="1" applyFont="1" applyFill="1" applyBorder="1" applyAlignment="1"/>
    <xf numFmtId="168" fontId="3" fillId="2" borderId="2" xfId="1" applyNumberFormat="1" applyFont="1" applyFill="1" applyBorder="1" applyAlignment="1"/>
    <xf numFmtId="168" fontId="3" fillId="2" borderId="7" xfId="1" applyNumberFormat="1" applyFont="1" applyFill="1" applyBorder="1"/>
    <xf numFmtId="168" fontId="3" fillId="2" borderId="2" xfId="1" applyNumberFormat="1" applyFont="1" applyFill="1" applyBorder="1"/>
    <xf numFmtId="0" fontId="7" fillId="2" borderId="12" xfId="0" applyFont="1" applyFill="1" applyBorder="1" applyAlignment="1">
      <alignment horizontal="center" vertical="center" wrapText="1"/>
    </xf>
    <xf numFmtId="167" fontId="7" fillId="2" borderId="12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/>
    <xf numFmtId="167" fontId="3" fillId="2" borderId="0" xfId="1" applyNumberFormat="1" applyFont="1" applyFill="1" applyBorder="1" applyAlignment="1"/>
    <xf numFmtId="0" fontId="3" fillId="0" borderId="7" xfId="0" applyFont="1" applyBorder="1" applyAlignment="1">
      <alignment horizontal="left" wrapText="1"/>
    </xf>
    <xf numFmtId="0" fontId="18" fillId="0" borderId="0" xfId="0" applyFont="1"/>
    <xf numFmtId="0" fontId="1" fillId="0" borderId="0" xfId="0" applyFont="1"/>
    <xf numFmtId="164" fontId="0" fillId="0" borderId="0" xfId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4" fontId="1" fillId="0" borderId="0" xfId="1" applyFont="1" applyAlignment="1">
      <alignment horizontal="center"/>
    </xf>
    <xf numFmtId="167" fontId="19" fillId="0" borderId="0" xfId="1" applyNumberFormat="1" applyFont="1" applyAlignment="1">
      <alignment horizontal="center"/>
    </xf>
    <xf numFmtId="164" fontId="18" fillId="0" borderId="0" xfId="1" applyFont="1" applyAlignment="1">
      <alignment horizontal="center"/>
    </xf>
    <xf numFmtId="0" fontId="20" fillId="0" borderId="0" xfId="0" applyFont="1"/>
    <xf numFmtId="0" fontId="1" fillId="0" borderId="0" xfId="0" applyFont="1" applyAlignment="1">
      <alignment horizontal="right"/>
    </xf>
    <xf numFmtId="164" fontId="1" fillId="0" borderId="0" xfId="1" applyFont="1" applyAlignment="1"/>
    <xf numFmtId="167" fontId="1" fillId="0" borderId="0" xfId="1" applyNumberFormat="1" applyFont="1" applyAlignment="1"/>
    <xf numFmtId="164" fontId="0" fillId="0" borderId="0" xfId="0" applyNumberFormat="1"/>
    <xf numFmtId="43" fontId="18" fillId="0" borderId="0" xfId="0" applyNumberFormat="1" applyFont="1"/>
    <xf numFmtId="0" fontId="21" fillId="0" borderId="0" xfId="0" applyFont="1"/>
    <xf numFmtId="43" fontId="21" fillId="0" borderId="0" xfId="0" applyNumberFormat="1" applyFont="1"/>
    <xf numFmtId="167" fontId="3" fillId="2" borderId="1" xfId="1" applyNumberFormat="1" applyFont="1" applyFill="1" applyBorder="1" applyAlignment="1">
      <alignment horizontal="center" vertical="center"/>
    </xf>
    <xf numFmtId="164" fontId="3" fillId="2" borderId="11" xfId="1" applyFont="1" applyFill="1" applyBorder="1" applyAlignment="1"/>
    <xf numFmtId="43" fontId="3" fillId="2" borderId="0" xfId="0" applyNumberFormat="1" applyFont="1" applyFill="1"/>
    <xf numFmtId="164" fontId="3" fillId="2" borderId="7" xfId="1" applyNumberFormat="1" applyFont="1" applyFill="1" applyBorder="1"/>
    <xf numFmtId="168" fontId="3" fillId="2" borderId="12" xfId="1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167" fontId="3" fillId="4" borderId="2" xfId="1" applyNumberFormat="1" applyFont="1" applyFill="1" applyBorder="1"/>
    <xf numFmtId="167" fontId="15" fillId="0" borderId="1" xfId="1" applyNumberFormat="1" applyFont="1" applyBorder="1"/>
    <xf numFmtId="164" fontId="3" fillId="0" borderId="2" xfId="1" applyFont="1" applyBorder="1" applyAlignment="1"/>
    <xf numFmtId="164" fontId="3" fillId="0" borderId="2" xfId="1" applyFont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3" fillId="0" borderId="2" xfId="1" applyNumberFormat="1" applyFont="1" applyBorder="1" applyAlignment="1"/>
    <xf numFmtId="164" fontId="3" fillId="0" borderId="3" xfId="1" applyFont="1" applyBorder="1" applyAlignment="1"/>
    <xf numFmtId="164" fontId="3" fillId="0" borderId="3" xfId="1" applyFont="1" applyBorder="1" applyAlignment="1">
      <alignment horizontal="center"/>
    </xf>
    <xf numFmtId="167" fontId="3" fillId="0" borderId="3" xfId="1" applyNumberFormat="1" applyFont="1" applyBorder="1" applyAlignment="1"/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7" fontId="3" fillId="0" borderId="8" xfId="1" applyNumberFormat="1" applyFont="1" applyBorder="1" applyAlignment="1"/>
    <xf numFmtId="164" fontId="3" fillId="2" borderId="3" xfId="1" applyFont="1" applyFill="1" applyBorder="1" applyAlignment="1"/>
    <xf numFmtId="168" fontId="3" fillId="2" borderId="7" xfId="1" applyNumberFormat="1" applyFont="1" applyFill="1" applyBorder="1" applyAlignment="1"/>
    <xf numFmtId="0" fontId="3" fillId="0" borderId="3" xfId="0" applyFont="1" applyBorder="1"/>
    <xf numFmtId="167" fontId="10" fillId="6" borderId="1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/>
    <xf numFmtId="164" fontId="3" fillId="0" borderId="3" xfId="1" applyFont="1" applyBorder="1" applyAlignment="1">
      <alignment wrapText="1"/>
    </xf>
    <xf numFmtId="164" fontId="3" fillId="0" borderId="2" xfId="1" applyFont="1" applyBorder="1" applyAlignment="1">
      <alignment wrapText="1"/>
    </xf>
    <xf numFmtId="164" fontId="3" fillId="0" borderId="7" xfId="1" applyFont="1" applyBorder="1" applyAlignment="1"/>
    <xf numFmtId="164" fontId="3" fillId="0" borderId="7" xfId="1" applyFont="1" applyBorder="1" applyAlignment="1">
      <alignment horizontal="center"/>
    </xf>
    <xf numFmtId="167" fontId="3" fillId="0" borderId="7" xfId="1" applyNumberFormat="1" applyFont="1" applyBorder="1" applyAlignment="1"/>
    <xf numFmtId="164" fontId="3" fillId="0" borderId="7" xfId="1" applyFont="1" applyBorder="1" applyAlignment="1">
      <alignment wrapText="1"/>
    </xf>
    <xf numFmtId="167" fontId="3" fillId="2" borderId="0" xfId="0" applyNumberFormat="1" applyFont="1" applyFill="1"/>
    <xf numFmtId="167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7" fontId="7" fillId="2" borderId="5" xfId="1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horizontal="center" vertical="top"/>
    </xf>
    <xf numFmtId="3" fontId="3" fillId="2" borderId="0" xfId="0" applyNumberFormat="1" applyFont="1" applyFill="1" applyBorder="1" applyAlignment="1">
      <alignment horizontal="left"/>
    </xf>
    <xf numFmtId="167" fontId="7" fillId="2" borderId="8" xfId="1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wrapText="1"/>
    </xf>
    <xf numFmtId="167" fontId="7" fillId="2" borderId="1" xfId="1" applyNumberFormat="1" applyFont="1" applyFill="1" applyBorder="1" applyAlignment="1">
      <alignment horizontal="center" vertical="center"/>
    </xf>
    <xf numFmtId="167" fontId="7" fillId="2" borderId="1" xfId="1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4" fontId="3" fillId="0" borderId="0" xfId="1" applyFont="1" applyBorder="1" applyAlignment="1"/>
    <xf numFmtId="167" fontId="7" fillId="0" borderId="5" xfId="1" applyNumberFormat="1" applyFont="1" applyBorder="1" applyAlignment="1">
      <alignment vertical="center"/>
    </xf>
    <xf numFmtId="164" fontId="3" fillId="0" borderId="0" xfId="1" applyFont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164" fontId="3" fillId="0" borderId="0" xfId="1" applyFont="1" applyBorder="1" applyAlignment="1">
      <alignment wrapText="1"/>
    </xf>
    <xf numFmtId="167" fontId="7" fillId="0" borderId="8" xfId="1" applyNumberFormat="1" applyFont="1" applyBorder="1" applyAlignment="1">
      <alignment vertical="center"/>
    </xf>
    <xf numFmtId="167" fontId="3" fillId="4" borderId="1" xfId="1" applyNumberFormat="1" applyFont="1" applyFill="1" applyBorder="1"/>
    <xf numFmtId="167" fontId="3" fillId="4" borderId="1" xfId="1" applyNumberFormat="1" applyFont="1" applyFill="1" applyBorder="1" applyAlignment="1"/>
    <xf numFmtId="167" fontId="3" fillId="4" borderId="2" xfId="1" applyNumberFormat="1" applyFont="1" applyFill="1" applyBorder="1" applyAlignment="1"/>
    <xf numFmtId="0" fontId="3" fillId="0" borderId="1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165" fontId="3" fillId="2" borderId="1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164" fontId="3" fillId="0" borderId="6" xfId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167" fontId="3" fillId="4" borderId="7" xfId="1" applyNumberFormat="1" applyFont="1" applyFill="1" applyBorder="1" applyAlignment="1">
      <alignment horizontal="center"/>
    </xf>
    <xf numFmtId="167" fontId="3" fillId="4" borderId="11" xfId="1" applyNumberFormat="1" applyFont="1" applyFill="1" applyBorder="1"/>
    <xf numFmtId="0" fontId="4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164" fontId="21" fillId="0" borderId="0" xfId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4" fontId="20" fillId="0" borderId="0" xfId="1" applyFont="1" applyAlignment="1">
      <alignment horizontal="center"/>
    </xf>
    <xf numFmtId="167" fontId="3" fillId="4" borderId="6" xfId="1" applyNumberFormat="1" applyFont="1" applyFill="1" applyBorder="1"/>
    <xf numFmtId="164" fontId="19" fillId="0" borderId="0" xfId="1" applyFont="1" applyAlignment="1">
      <alignment horizontal="center"/>
    </xf>
    <xf numFmtId="167" fontId="3" fillId="4" borderId="2" xfId="1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3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wrapText="1"/>
    </xf>
    <xf numFmtId="166" fontId="3" fillId="2" borderId="7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4" fontId="3" fillId="4" borderId="7" xfId="1" applyFont="1" applyFill="1" applyBorder="1"/>
    <xf numFmtId="0" fontId="2" fillId="2" borderId="0" xfId="0" applyFont="1" applyFill="1"/>
    <xf numFmtId="167" fontId="23" fillId="5" borderId="1" xfId="1" applyNumberFormat="1" applyFont="1" applyFill="1" applyBorder="1"/>
    <xf numFmtId="167" fontId="6" fillId="3" borderId="0" xfId="1" applyNumberFormat="1" applyFont="1" applyFill="1"/>
    <xf numFmtId="0" fontId="2" fillId="3" borderId="0" xfId="0" applyFont="1" applyFill="1"/>
    <xf numFmtId="164" fontId="21" fillId="0" borderId="0" xfId="1" applyFont="1" applyAlignment="1">
      <alignment horizontal="center"/>
    </xf>
    <xf numFmtId="168" fontId="18" fillId="0" borderId="0" xfId="1" applyNumberFormat="1" applyFont="1"/>
    <xf numFmtId="168" fontId="0" fillId="0" borderId="0" xfId="1" applyNumberFormat="1" applyFont="1"/>
    <xf numFmtId="168" fontId="20" fillId="0" borderId="0" xfId="1" applyNumberFormat="1" applyFont="1"/>
    <xf numFmtId="168" fontId="1" fillId="0" borderId="0" xfId="1" applyNumberFormat="1" applyFont="1"/>
    <xf numFmtId="168" fontId="1" fillId="0" borderId="0" xfId="1" applyNumberFormat="1" applyFont="1" applyAlignment="1">
      <alignment horizontal="right"/>
    </xf>
    <xf numFmtId="168" fontId="20" fillId="0" borderId="0" xfId="1" applyNumberFormat="1" applyFont="1" applyAlignment="1">
      <alignment horizontal="center"/>
    </xf>
    <xf numFmtId="168" fontId="18" fillId="0" borderId="0" xfId="0" applyNumberFormat="1" applyFont="1"/>
    <xf numFmtId="170" fontId="18" fillId="0" borderId="0" xfId="0" applyNumberFormat="1" applyFont="1"/>
    <xf numFmtId="167" fontId="0" fillId="0" borderId="0" xfId="1" applyNumberFormat="1" applyFont="1"/>
    <xf numFmtId="167" fontId="21" fillId="0" borderId="0" xfId="1" applyNumberFormat="1" applyFont="1"/>
    <xf numFmtId="167" fontId="3" fillId="2" borderId="0" xfId="0" applyNumberFormat="1" applyFont="1" applyFill="1" applyAlignment="1"/>
    <xf numFmtId="168" fontId="24" fillId="0" borderId="0" xfId="1" applyNumberFormat="1" applyFont="1" applyAlignment="1">
      <alignment horizontal="center"/>
    </xf>
    <xf numFmtId="168" fontId="24" fillId="0" borderId="0" xfId="0" applyNumberFormat="1" applyFont="1"/>
    <xf numFmtId="0" fontId="0" fillId="0" borderId="0" xfId="0" applyAlignment="1">
      <alignment horizontal="right"/>
    </xf>
    <xf numFmtId="167" fontId="3" fillId="3" borderId="1" xfId="1" applyNumberFormat="1" applyFont="1" applyFill="1" applyBorder="1"/>
    <xf numFmtId="167" fontId="3" fillId="3" borderId="1" xfId="1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7" fontId="23" fillId="4" borderId="1" xfId="1" applyNumberFormat="1" applyFont="1" applyFill="1" applyBorder="1"/>
    <xf numFmtId="167" fontId="2" fillId="3" borderId="0" xfId="1" applyNumberFormat="1" applyFont="1" applyFill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4" fontId="3" fillId="4" borderId="2" xfId="0" applyNumberFormat="1" applyFont="1" applyFill="1" applyBorder="1" applyAlignment="1">
      <alignment horizontal="center"/>
    </xf>
    <xf numFmtId="4" fontId="3" fillId="4" borderId="3" xfId="0" applyNumberFormat="1" applyFont="1" applyFill="1" applyBorder="1" applyAlignment="1">
      <alignment horizontal="center"/>
    </xf>
    <xf numFmtId="4" fontId="3" fillId="4" borderId="7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wrapText="1"/>
    </xf>
    <xf numFmtId="0" fontId="8" fillId="4" borderId="0" xfId="0" applyFont="1" applyFill="1" applyAlignment="1">
      <alignment horizontal="center" wrapText="1"/>
    </xf>
    <xf numFmtId="0" fontId="3" fillId="4" borderId="0" xfId="0" applyFont="1" applyFill="1"/>
    <xf numFmtId="164" fontId="3" fillId="4" borderId="0" xfId="1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7" fontId="3" fillId="4" borderId="0" xfId="1" applyNumberFormat="1" applyFont="1" applyFill="1"/>
    <xf numFmtId="0" fontId="2" fillId="4" borderId="1" xfId="0" applyFont="1" applyFill="1" applyBorder="1" applyAlignment="1">
      <alignment horizontal="center" vertical="center"/>
    </xf>
    <xf numFmtId="167" fontId="2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67" fontId="3" fillId="4" borderId="1" xfId="1" applyNumberFormat="1" applyFont="1" applyFill="1" applyBorder="1" applyAlignment="1">
      <alignment horizontal="center"/>
    </xf>
    <xf numFmtId="167" fontId="9" fillId="4" borderId="5" xfId="1" applyNumberFormat="1" applyFont="1" applyFill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/>
    </xf>
    <xf numFmtId="167" fontId="3" fillId="4" borderId="1" xfId="1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vertical="center" wrapText="1"/>
    </xf>
    <xf numFmtId="167" fontId="7" fillId="4" borderId="0" xfId="1" applyNumberFormat="1" applyFont="1" applyFill="1" applyBorder="1" applyAlignment="1">
      <alignment horizontal="center" vertical="center" wrapText="1"/>
    </xf>
    <xf numFmtId="167" fontId="7" fillId="4" borderId="0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wrapText="1"/>
    </xf>
    <xf numFmtId="0" fontId="3" fillId="4" borderId="7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7" fontId="3" fillId="4" borderId="7" xfId="1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wrapText="1"/>
    </xf>
    <xf numFmtId="0" fontId="3" fillId="4" borderId="0" xfId="0" applyFont="1" applyFill="1" applyAlignment="1"/>
    <xf numFmtId="164" fontId="3" fillId="4" borderId="0" xfId="1" applyFont="1" applyFill="1" applyAlignment="1"/>
    <xf numFmtId="165" fontId="3" fillId="4" borderId="1" xfId="0" applyNumberFormat="1" applyFont="1" applyFill="1" applyBorder="1" applyAlignment="1">
      <alignment horizontal="center"/>
    </xf>
    <xf numFmtId="167" fontId="3" fillId="4" borderId="3" xfId="1" applyNumberFormat="1" applyFont="1" applyFill="1" applyBorder="1" applyAlignment="1"/>
    <xf numFmtId="4" fontId="3" fillId="4" borderId="1" xfId="0" applyNumberFormat="1" applyFont="1" applyFill="1" applyBorder="1" applyAlignment="1">
      <alignment horizontal="center"/>
    </xf>
    <xf numFmtId="167" fontId="3" fillId="4" borderId="0" xfId="0" applyNumberFormat="1" applyFont="1" applyFill="1"/>
    <xf numFmtId="0" fontId="3" fillId="4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wrapText="1"/>
    </xf>
    <xf numFmtId="0" fontId="3" fillId="4" borderId="13" xfId="0" applyFont="1" applyFill="1" applyBorder="1" applyAlignment="1">
      <alignment horizontal="center"/>
    </xf>
    <xf numFmtId="2" fontId="3" fillId="4" borderId="13" xfId="0" applyNumberFormat="1" applyFont="1" applyFill="1" applyBorder="1" applyAlignment="1">
      <alignment horizontal="center"/>
    </xf>
    <xf numFmtId="167" fontId="3" fillId="4" borderId="13" xfId="1" applyNumberFormat="1" applyFont="1" applyFill="1" applyBorder="1"/>
    <xf numFmtId="2" fontId="3" fillId="4" borderId="0" xfId="0" applyNumberFormat="1" applyFont="1" applyFill="1" applyBorder="1" applyAlignment="1">
      <alignment horizontal="center"/>
    </xf>
    <xf numFmtId="167" fontId="3" fillId="4" borderId="0" xfId="1" applyNumberFormat="1" applyFont="1" applyFill="1" applyBorder="1"/>
    <xf numFmtId="0" fontId="3" fillId="4" borderId="14" xfId="0" applyFont="1" applyFill="1" applyBorder="1" applyAlignment="1">
      <alignment wrapText="1"/>
    </xf>
    <xf numFmtId="0" fontId="4" fillId="4" borderId="0" xfId="0" applyFont="1" applyFill="1" applyAlignment="1">
      <alignment horizontal="left"/>
    </xf>
    <xf numFmtId="0" fontId="3" fillId="4" borderId="2" xfId="0" applyFont="1" applyFill="1" applyBorder="1" applyAlignment="1">
      <alignment horizontal="center" vertical="center" wrapText="1"/>
    </xf>
    <xf numFmtId="164" fontId="3" fillId="4" borderId="1" xfId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left"/>
    </xf>
    <xf numFmtId="167" fontId="2" fillId="4" borderId="2" xfId="1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164" fontId="3" fillId="4" borderId="1" xfId="1" applyFont="1" applyFill="1" applyBorder="1" applyAlignment="1"/>
    <xf numFmtId="167" fontId="3" fillId="4" borderId="0" xfId="1" applyNumberFormat="1" applyFont="1" applyFill="1" applyAlignment="1"/>
    <xf numFmtId="0" fontId="3" fillId="4" borderId="0" xfId="0" applyFont="1" applyFill="1" applyAlignment="1">
      <alignment horizontal="left"/>
    </xf>
    <xf numFmtId="167" fontId="6" fillId="4" borderId="0" xfId="1" applyNumberFormat="1" applyFont="1" applyFill="1"/>
    <xf numFmtId="167" fontId="2" fillId="4" borderId="0" xfId="1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7" fontId="0" fillId="4" borderId="0" xfId="1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20" fillId="4" borderId="1" xfId="0" applyFont="1" applyFill="1" applyBorder="1" applyAlignment="1">
      <alignment horizontal="center"/>
    </xf>
    <xf numFmtId="164" fontId="20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167" fontId="20" fillId="4" borderId="0" xfId="1" applyNumberFormat="1" applyFont="1" applyFill="1" applyAlignment="1">
      <alignment horizontal="center"/>
    </xf>
    <xf numFmtId="164" fontId="20" fillId="4" borderId="0" xfId="1" applyNumberFormat="1" applyFont="1" applyFill="1" applyAlignment="1">
      <alignment horizontal="center"/>
    </xf>
    <xf numFmtId="0" fontId="1" fillId="4" borderId="0" xfId="0" applyFont="1" applyFill="1"/>
    <xf numFmtId="43" fontId="0" fillId="4" borderId="0" xfId="0" applyNumberFormat="1" applyFill="1"/>
    <xf numFmtId="164" fontId="0" fillId="4" borderId="0" xfId="1" applyFont="1" applyFill="1" applyAlignment="1">
      <alignment horizontal="center"/>
    </xf>
    <xf numFmtId="167" fontId="18" fillId="4" borderId="0" xfId="1" applyNumberFormat="1" applyFont="1" applyFill="1" applyAlignment="1">
      <alignment horizontal="left"/>
    </xf>
    <xf numFmtId="0" fontId="0" fillId="3" borderId="1" xfId="0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3" fontId="0" fillId="4" borderId="0" xfId="0" applyNumberFormat="1" applyFill="1" applyAlignment="1">
      <alignment horizontal="center"/>
    </xf>
    <xf numFmtId="43" fontId="21" fillId="4" borderId="0" xfId="0" applyNumberFormat="1" applyFont="1" applyFill="1" applyAlignment="1">
      <alignment horizontal="center"/>
    </xf>
    <xf numFmtId="43" fontId="24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164" fontId="29" fillId="0" borderId="0" xfId="1" applyFont="1" applyAlignment="1">
      <alignment horizontal="center"/>
    </xf>
    <xf numFmtId="164" fontId="31" fillId="0" borderId="0" xfId="1" applyFont="1" applyAlignment="1">
      <alignment horizontal="center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1" fillId="0" borderId="0" xfId="0" applyFont="1"/>
    <xf numFmtId="0" fontId="0" fillId="0" borderId="0" xfId="0" applyAlignment="1">
      <alignment vertical="center"/>
    </xf>
    <xf numFmtId="0" fontId="3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166" fontId="28" fillId="0" borderId="0" xfId="0" applyNumberFormat="1" applyFont="1"/>
    <xf numFmtId="166" fontId="24" fillId="0" borderId="0" xfId="0" applyNumberFormat="1" applyFont="1"/>
    <xf numFmtId="0" fontId="32" fillId="0" borderId="6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7" fontId="3" fillId="0" borderId="1" xfId="1" applyNumberFormat="1" applyFont="1" applyBorder="1" applyAlignment="1">
      <alignment vertical="center" wrapText="1"/>
    </xf>
    <xf numFmtId="167" fontId="3" fillId="0" borderId="1" xfId="1" applyNumberFormat="1" applyFont="1" applyBorder="1" applyAlignment="1">
      <alignment vertical="center"/>
    </xf>
    <xf numFmtId="168" fontId="3" fillId="0" borderId="1" xfId="1" applyNumberFormat="1" applyFont="1" applyBorder="1" applyAlignment="1">
      <alignment vertical="center" wrapText="1"/>
    </xf>
    <xf numFmtId="168" fontId="3" fillId="0" borderId="1" xfId="1" applyNumberFormat="1" applyFont="1" applyBorder="1" applyAlignment="1">
      <alignment vertical="center"/>
    </xf>
    <xf numFmtId="172" fontId="3" fillId="0" borderId="1" xfId="0" applyNumberFormat="1" applyFont="1" applyBorder="1" applyAlignment="1">
      <alignment horizontal="center" vertical="center"/>
    </xf>
    <xf numFmtId="167" fontId="3" fillId="0" borderId="6" xfId="0" applyNumberFormat="1" applyFont="1" applyBorder="1" applyAlignment="1">
      <alignment horizontal="center" vertical="center"/>
    </xf>
    <xf numFmtId="171" fontId="10" fillId="3" borderId="0" xfId="1" applyNumberFormat="1" applyFont="1" applyFill="1" applyAlignment="1">
      <alignment horizontal="left"/>
    </xf>
    <xf numFmtId="2" fontId="10" fillId="3" borderId="0" xfId="0" applyNumberFormat="1" applyFont="1" applyFill="1" applyAlignment="1">
      <alignment horizontal="left"/>
    </xf>
    <xf numFmtId="2" fontId="31" fillId="9" borderId="0" xfId="0" applyNumberFormat="1" applyFont="1" applyFill="1" applyAlignment="1">
      <alignment horizontal="left"/>
    </xf>
    <xf numFmtId="2" fontId="6" fillId="9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left"/>
    </xf>
    <xf numFmtId="2" fontId="10" fillId="10" borderId="0" xfId="0" applyNumberFormat="1" applyFont="1" applyFill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center"/>
    </xf>
    <xf numFmtId="164" fontId="24" fillId="0" borderId="0" xfId="1" applyFont="1" applyAlignment="1">
      <alignment horizontal="center"/>
    </xf>
    <xf numFmtId="172" fontId="0" fillId="0" borderId="0" xfId="0" applyNumberFormat="1" applyAlignment="1">
      <alignment vertical="center"/>
    </xf>
    <xf numFmtId="172" fontId="0" fillId="0" borderId="0" xfId="0" applyNumberFormat="1"/>
    <xf numFmtId="167" fontId="3" fillId="0" borderId="0" xfId="1" applyNumberFormat="1" applyFont="1" applyBorder="1" applyAlignment="1">
      <alignment vertical="center"/>
    </xf>
    <xf numFmtId="168" fontId="3" fillId="0" borderId="0" xfId="1" applyNumberFormat="1" applyFont="1" applyBorder="1" applyAlignment="1">
      <alignment vertical="center"/>
    </xf>
    <xf numFmtId="172" fontId="3" fillId="0" borderId="0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 wrapText="1"/>
    </xf>
    <xf numFmtId="164" fontId="3" fillId="0" borderId="1" xfId="1" applyNumberFormat="1" applyFont="1" applyBorder="1" applyAlignment="1">
      <alignment vertical="center"/>
    </xf>
    <xf numFmtId="170" fontId="3" fillId="0" borderId="1" xfId="0" applyNumberFormat="1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3" fillId="0" borderId="13" xfId="0" applyFont="1" applyFill="1" applyBorder="1" applyAlignment="1">
      <alignment horizontal="center" vertical="center" wrapText="1"/>
    </xf>
    <xf numFmtId="43" fontId="3" fillId="0" borderId="0" xfId="0" applyNumberFormat="1" applyFont="1" applyAlignment="1">
      <alignment horizontal="center"/>
    </xf>
    <xf numFmtId="43" fontId="3" fillId="0" borderId="0" xfId="0" applyNumberFormat="1" applyFont="1"/>
    <xf numFmtId="172" fontId="3" fillId="0" borderId="0" xfId="0" applyNumberFormat="1" applyFont="1"/>
    <xf numFmtId="170" fontId="35" fillId="0" borderId="0" xfId="0" applyNumberFormat="1" applyFont="1"/>
    <xf numFmtId="0" fontId="20" fillId="0" borderId="0" xfId="0" applyFont="1" applyAlignment="1">
      <alignment horizontal="right"/>
    </xf>
    <xf numFmtId="167" fontId="3" fillId="0" borderId="6" xfId="1" applyNumberFormat="1" applyFont="1" applyBorder="1" applyAlignment="1">
      <alignment vertical="center"/>
    </xf>
    <xf numFmtId="167" fontId="3" fillId="0" borderId="6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vertical="center"/>
    </xf>
    <xf numFmtId="170" fontId="3" fillId="0" borderId="6" xfId="0" applyNumberFormat="1" applyFont="1" applyBorder="1" applyAlignment="1">
      <alignment horizontal="center" vertical="center"/>
    </xf>
    <xf numFmtId="0" fontId="39" fillId="0" borderId="0" xfId="0" applyFont="1" applyAlignment="1"/>
    <xf numFmtId="0" fontId="6" fillId="11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172" fontId="2" fillId="11" borderId="6" xfId="0" applyNumberFormat="1" applyFont="1" applyFill="1" applyBorder="1" applyAlignment="1">
      <alignment horizontal="center" vertical="center"/>
    </xf>
    <xf numFmtId="172" fontId="2" fillId="11" borderId="0" xfId="0" applyNumberFormat="1" applyFont="1" applyFill="1" applyBorder="1" applyAlignment="1">
      <alignment horizontal="left" vertical="center"/>
    </xf>
    <xf numFmtId="0" fontId="6" fillId="11" borderId="0" xfId="0" applyFont="1" applyFill="1" applyAlignment="1">
      <alignment horizontal="right" vertical="center"/>
    </xf>
    <xf numFmtId="0" fontId="2" fillId="11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center"/>
    </xf>
    <xf numFmtId="167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2" fontId="2" fillId="11" borderId="0" xfId="0" applyNumberFormat="1" applyFont="1" applyFill="1" applyBorder="1" applyAlignment="1">
      <alignment horizontal="center" vertical="center"/>
    </xf>
    <xf numFmtId="174" fontId="3" fillId="0" borderId="0" xfId="0" applyNumberFormat="1" applyFont="1"/>
    <xf numFmtId="170" fontId="2" fillId="0" borderId="6" xfId="0" applyNumberFormat="1" applyFont="1" applyBorder="1" applyAlignment="1">
      <alignment horizontal="center" vertical="center"/>
    </xf>
    <xf numFmtId="0" fontId="0" fillId="0" borderId="0" xfId="0" applyAlignment="1"/>
    <xf numFmtId="169" fontId="41" fillId="11" borderId="0" xfId="0" applyNumberFormat="1" applyFont="1" applyFill="1" applyAlignment="1"/>
    <xf numFmtId="0" fontId="2" fillId="11" borderId="0" xfId="0" applyFont="1" applyFill="1" applyAlignment="1"/>
    <xf numFmtId="0" fontId="2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0" fontId="20" fillId="4" borderId="0" xfId="0" applyFont="1" applyFill="1" applyAlignment="1"/>
    <xf numFmtId="0" fontId="4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2" fillId="0" borderId="0" xfId="0" applyFont="1"/>
    <xf numFmtId="0" fontId="3" fillId="5" borderId="1" xfId="0" applyFont="1" applyFill="1" applyBorder="1" applyAlignment="1">
      <alignment horizontal="center"/>
    </xf>
    <xf numFmtId="164" fontId="3" fillId="5" borderId="1" xfId="1" applyFont="1" applyFill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3" fillId="0" borderId="0" xfId="1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3" fillId="7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1" applyFont="1" applyFill="1" applyBorder="1" applyAlignment="1">
      <alignment horizontal="center"/>
    </xf>
    <xf numFmtId="43" fontId="38" fillId="0" borderId="0" xfId="0" applyNumberFormat="1" applyFont="1"/>
    <xf numFmtId="167" fontId="26" fillId="0" borderId="0" xfId="1" applyNumberFormat="1" applyFont="1" applyAlignment="1">
      <alignment horizontal="left"/>
    </xf>
    <xf numFmtId="0" fontId="3" fillId="8" borderId="1" xfId="0" applyFont="1" applyFill="1" applyBorder="1" applyAlignment="1">
      <alignment horizontal="center"/>
    </xf>
    <xf numFmtId="164" fontId="3" fillId="8" borderId="1" xfId="1" applyFont="1" applyFill="1" applyBorder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164" fontId="3" fillId="0" borderId="1" xfId="1" applyFont="1" applyBorder="1"/>
    <xf numFmtId="0" fontId="39" fillId="0" borderId="0" xfId="0" applyFont="1" applyAlignment="1">
      <alignment horizontal="center"/>
    </xf>
    <xf numFmtId="164" fontId="2" fillId="3" borderId="1" xfId="1" applyFont="1" applyFill="1" applyBorder="1" applyAlignment="1">
      <alignment horizontal="center"/>
    </xf>
    <xf numFmtId="164" fontId="2" fillId="3" borderId="1" xfId="1" applyFont="1" applyFill="1" applyBorder="1"/>
    <xf numFmtId="164" fontId="2" fillId="4" borderId="0" xfId="1" applyFont="1" applyFill="1" applyBorder="1" applyAlignment="1">
      <alignment horizontal="center"/>
    </xf>
    <xf numFmtId="164" fontId="2" fillId="4" borderId="0" xfId="1" applyFont="1" applyFill="1" applyBorder="1"/>
    <xf numFmtId="173" fontId="3" fillId="0" borderId="0" xfId="1" applyNumberFormat="1" applyFont="1" applyAlignment="1">
      <alignment horizontal="center"/>
    </xf>
    <xf numFmtId="167" fontId="3" fillId="2" borderId="0" xfId="1" applyNumberFormat="1" applyFont="1" applyFill="1" applyAlignment="1">
      <alignment horizontal="center"/>
    </xf>
    <xf numFmtId="167" fontId="2" fillId="2" borderId="0" xfId="1" applyNumberFormat="1" applyFont="1" applyFill="1"/>
    <xf numFmtId="167" fontId="3" fillId="3" borderId="0" xfId="1" applyNumberFormat="1" applyFont="1" applyFill="1"/>
    <xf numFmtId="0" fontId="3" fillId="12" borderId="1" xfId="0" applyFont="1" applyFill="1" applyBorder="1" applyAlignment="1">
      <alignment horizontal="center"/>
    </xf>
    <xf numFmtId="164" fontId="3" fillId="12" borderId="1" xfId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3" fillId="9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3" fillId="10" borderId="1" xfId="1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164" fontId="26" fillId="4" borderId="1" xfId="1" applyFont="1" applyFill="1" applyBorder="1" applyAlignment="1">
      <alignment horizontal="center"/>
    </xf>
    <xf numFmtId="164" fontId="2" fillId="4" borderId="1" xfId="1" applyFont="1" applyFill="1" applyBorder="1" applyAlignment="1">
      <alignment horizontal="center"/>
    </xf>
    <xf numFmtId="2" fontId="2" fillId="0" borderId="1" xfId="0" applyNumberFormat="1" applyFont="1" applyBorder="1"/>
    <xf numFmtId="2" fontId="38" fillId="0" borderId="1" xfId="0" applyNumberFormat="1" applyFont="1" applyBorder="1"/>
    <xf numFmtId="168" fontId="3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vertical="center"/>
    </xf>
    <xf numFmtId="167" fontId="3" fillId="0" borderId="0" xfId="1" applyNumberFormat="1" applyFont="1"/>
    <xf numFmtId="167" fontId="44" fillId="0" borderId="0" xfId="1" applyNumberFormat="1" applyFont="1"/>
    <xf numFmtId="0" fontId="45" fillId="6" borderId="0" xfId="0" applyFont="1" applyFill="1"/>
    <xf numFmtId="0" fontId="2" fillId="6" borderId="0" xfId="0" applyFont="1" applyFill="1" applyAlignment="1">
      <alignment horizontal="center"/>
    </xf>
    <xf numFmtId="0" fontId="2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164" fontId="3" fillId="4" borderId="9" xfId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3" fillId="2" borderId="13" xfId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left"/>
    </xf>
    <xf numFmtId="3" fontId="3" fillId="2" borderId="13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4" fontId="3" fillId="4" borderId="12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left"/>
    </xf>
    <xf numFmtId="3" fontId="3" fillId="2" borderId="12" xfId="0" applyNumberFormat="1" applyFont="1" applyFill="1" applyBorder="1" applyAlignment="1">
      <alignment horizontal="center"/>
    </xf>
    <xf numFmtId="167" fontId="3" fillId="2" borderId="12" xfId="1" applyNumberFormat="1" applyFont="1" applyFill="1" applyBorder="1"/>
    <xf numFmtId="4" fontId="3" fillId="2" borderId="12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/>
    <xf numFmtId="0" fontId="3" fillId="0" borderId="13" xfId="0" applyFont="1" applyBorder="1" applyAlignment="1">
      <alignment horizontal="left" wrapText="1"/>
    </xf>
    <xf numFmtId="166" fontId="3" fillId="2" borderId="13" xfId="0" applyNumberFormat="1" applyFont="1" applyFill="1" applyBorder="1" applyAlignment="1">
      <alignment horizontal="center"/>
    </xf>
    <xf numFmtId="167" fontId="3" fillId="2" borderId="13" xfId="1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center"/>
    </xf>
    <xf numFmtId="3" fontId="3" fillId="2" borderId="13" xfId="0" applyNumberFormat="1" applyFont="1" applyFill="1" applyBorder="1" applyAlignment="1">
      <alignment horizontal="left" wrapText="1"/>
    </xf>
    <xf numFmtId="164" fontId="3" fillId="0" borderId="13" xfId="1" applyFont="1" applyBorder="1" applyAlignment="1"/>
    <xf numFmtId="164" fontId="3" fillId="0" borderId="13" xfId="1" applyFont="1" applyBorder="1" applyAlignment="1">
      <alignment wrapText="1"/>
    </xf>
    <xf numFmtId="164" fontId="3" fillId="0" borderId="13" xfId="1" applyFont="1" applyBorder="1" applyAlignment="1">
      <alignment horizontal="center"/>
    </xf>
    <xf numFmtId="167" fontId="3" fillId="0" borderId="13" xfId="1" applyNumberFormat="1" applyFont="1" applyBorder="1" applyAlignment="1"/>
    <xf numFmtId="3" fontId="3" fillId="2" borderId="13" xfId="0" applyNumberFormat="1" applyFont="1" applyFill="1" applyBorder="1" applyAlignment="1"/>
    <xf numFmtId="164" fontId="3" fillId="2" borderId="13" xfId="1" applyFont="1" applyFill="1" applyBorder="1" applyAlignment="1"/>
    <xf numFmtId="167" fontId="3" fillId="2" borderId="13" xfId="1" applyNumberFormat="1" applyFont="1" applyFill="1" applyBorder="1" applyAlignment="1"/>
    <xf numFmtId="0" fontId="17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164" fontId="38" fillId="2" borderId="0" xfId="1" applyNumberFormat="1" applyFont="1" applyFill="1"/>
    <xf numFmtId="168" fontId="3" fillId="2" borderId="0" xfId="1" applyNumberFormat="1" applyFont="1" applyFill="1" applyAlignment="1">
      <alignment horizontal="center"/>
    </xf>
    <xf numFmtId="168" fontId="3" fillId="2" borderId="0" xfId="1" applyNumberFormat="1" applyFont="1" applyFill="1" applyAlignment="1"/>
    <xf numFmtId="168" fontId="3" fillId="0" borderId="0" xfId="1" applyNumberFormat="1" applyFont="1"/>
    <xf numFmtId="168" fontId="3" fillId="0" borderId="0" xfId="1" applyNumberFormat="1" applyFont="1" applyAlignment="1"/>
    <xf numFmtId="0" fontId="2" fillId="2" borderId="4" xfId="0" applyFont="1" applyFill="1" applyBorder="1" applyAlignment="1">
      <alignment horizontal="center"/>
    </xf>
    <xf numFmtId="164" fontId="35" fillId="2" borderId="0" xfId="1" applyFont="1" applyFill="1" applyAlignment="1">
      <alignment horizontal="center"/>
    </xf>
    <xf numFmtId="164" fontId="2" fillId="2" borderId="0" xfId="1" applyFont="1" applyFill="1"/>
    <xf numFmtId="164" fontId="3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/>
    <xf numFmtId="164" fontId="35" fillId="2" borderId="0" xfId="1" applyNumberFormat="1" applyFont="1" applyFill="1" applyAlignment="1">
      <alignment horizontal="center"/>
    </xf>
    <xf numFmtId="164" fontId="2" fillId="2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/>
    <xf numFmtId="167" fontId="2" fillId="2" borderId="0" xfId="1" applyNumberFormat="1" applyFont="1" applyFill="1" applyBorder="1" applyAlignment="1">
      <alignment horizontal="center" vertical="center"/>
    </xf>
    <xf numFmtId="167" fontId="3" fillId="2" borderId="0" xfId="1" applyNumberFormat="1" applyFont="1" applyFill="1" applyBorder="1" applyAlignment="1">
      <alignment horizontal="center"/>
    </xf>
    <xf numFmtId="167" fontId="7" fillId="2" borderId="0" xfId="1" applyNumberFormat="1" applyFont="1" applyFill="1" applyBorder="1" applyAlignment="1">
      <alignment horizontal="center"/>
    </xf>
    <xf numFmtId="167" fontId="7" fillId="2" borderId="0" xfId="1" applyNumberFormat="1" applyFont="1" applyFill="1" applyBorder="1" applyAlignment="1">
      <alignment vertical="center"/>
    </xf>
    <xf numFmtId="167" fontId="3" fillId="2" borderId="0" xfId="1" applyNumberFormat="1" applyFont="1" applyFill="1" applyBorder="1" applyAlignment="1">
      <alignment horizontal="center" vertical="center"/>
    </xf>
    <xf numFmtId="167" fontId="7" fillId="2" borderId="0" xfId="1" applyNumberFormat="1" applyFont="1" applyFill="1" applyBorder="1" applyAlignment="1">
      <alignment horizontal="center" vertical="center"/>
    </xf>
    <xf numFmtId="167" fontId="3" fillId="0" borderId="0" xfId="1" applyNumberFormat="1" applyFont="1" applyBorder="1" applyAlignment="1"/>
    <xf numFmtId="167" fontId="7" fillId="0" borderId="0" xfId="1" applyNumberFormat="1" applyFont="1" applyBorder="1" applyAlignment="1">
      <alignment vertical="center"/>
    </xf>
    <xf numFmtId="169" fontId="3" fillId="2" borderId="4" xfId="0" applyNumberFormat="1" applyFont="1" applyFill="1" applyBorder="1" applyAlignment="1"/>
    <xf numFmtId="0" fontId="2" fillId="2" borderId="6" xfId="0" applyFont="1" applyFill="1" applyBorder="1" applyAlignment="1"/>
    <xf numFmtId="169" fontId="3" fillId="2" borderId="6" xfId="0" applyNumberFormat="1" applyFont="1" applyFill="1" applyBorder="1" applyAlignment="1"/>
    <xf numFmtId="0" fontId="11" fillId="2" borderId="0" xfId="0" applyFont="1" applyFill="1" applyAlignment="1"/>
    <xf numFmtId="169" fontId="3" fillId="2" borderId="0" xfId="0" applyNumberFormat="1" applyFont="1" applyFill="1" applyBorder="1" applyAlignment="1"/>
    <xf numFmtId="169" fontId="3" fillId="2" borderId="1" xfId="0" applyNumberFormat="1" applyFont="1" applyFill="1" applyBorder="1" applyAlignment="1"/>
    <xf numFmtId="43" fontId="3" fillId="2" borderId="1" xfId="0" applyNumberFormat="1" applyFont="1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wrapText="1"/>
    </xf>
    <xf numFmtId="3" fontId="3" fillId="2" borderId="1" xfId="0" applyNumberFormat="1" applyFont="1" applyFill="1" applyBorder="1" applyAlignment="1">
      <alignment wrapText="1"/>
    </xf>
    <xf numFmtId="3" fontId="3" fillId="2" borderId="1" xfId="0" applyNumberFormat="1" applyFont="1" applyFill="1" applyBorder="1" applyAlignment="1"/>
    <xf numFmtId="167" fontId="6" fillId="2" borderId="1" xfId="1" applyNumberFormat="1" applyFont="1" applyFill="1" applyBorder="1" applyAlignment="1">
      <alignment horizontal="center"/>
    </xf>
    <xf numFmtId="167" fontId="6" fillId="2" borderId="1" xfId="1" applyNumberFormat="1" applyFont="1" applyFill="1" applyBorder="1"/>
    <xf numFmtId="0" fontId="3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64" fontId="3" fillId="0" borderId="0" xfId="0" applyNumberFormat="1" applyFont="1"/>
    <xf numFmtId="164" fontId="0" fillId="0" borderId="0" xfId="1" applyFont="1"/>
    <xf numFmtId="168" fontId="2" fillId="0" borderId="0" xfId="1" applyNumberFormat="1" applyFont="1"/>
    <xf numFmtId="164" fontId="20" fillId="0" borderId="1" xfId="1" applyFont="1" applyBorder="1" applyAlignment="1">
      <alignment horizontal="center"/>
    </xf>
    <xf numFmtId="164" fontId="21" fillId="0" borderId="1" xfId="1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/>
    <xf numFmtId="167" fontId="3" fillId="0" borderId="1" xfId="1" applyNumberFormat="1" applyFont="1" applyBorder="1"/>
    <xf numFmtId="167" fontId="3" fillId="0" borderId="1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167" fontId="3" fillId="0" borderId="9" xfId="1" applyNumberFormat="1" applyFont="1" applyBorder="1" applyAlignment="1">
      <alignment horizontal="center"/>
    </xf>
    <xf numFmtId="167" fontId="3" fillId="0" borderId="9" xfId="1" applyNumberFormat="1" applyFont="1" applyBorder="1"/>
    <xf numFmtId="167" fontId="3" fillId="0" borderId="5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67" fontId="3" fillId="0" borderId="0" xfId="1" applyNumberFormat="1" applyFont="1" applyBorder="1" applyAlignment="1">
      <alignment horizontal="center"/>
    </xf>
    <xf numFmtId="167" fontId="3" fillId="0" borderId="9" xfId="0" applyNumberFormat="1" applyFont="1" applyBorder="1"/>
    <xf numFmtId="167" fontId="2" fillId="0" borderId="1" xfId="1" applyNumberFormat="1" applyFont="1" applyBorder="1"/>
    <xf numFmtId="0" fontId="4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9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7" fontId="3" fillId="0" borderId="0" xfId="0" applyNumberFormat="1" applyFont="1"/>
    <xf numFmtId="167" fontId="6" fillId="0" borderId="1" xfId="0" applyNumberFormat="1" applyFont="1" applyBorder="1"/>
    <xf numFmtId="0" fontId="3" fillId="0" borderId="1" xfId="0" applyFont="1" applyBorder="1" applyAlignment="1"/>
    <xf numFmtId="0" fontId="3" fillId="0" borderId="5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67" fontId="27" fillId="2" borderId="3" xfId="1" applyNumberFormat="1" applyFont="1" applyFill="1" applyBorder="1"/>
    <xf numFmtId="167" fontId="27" fillId="2" borderId="12" xfId="1" applyNumberFormat="1" applyFont="1" applyFill="1" applyBorder="1"/>
    <xf numFmtId="167" fontId="27" fillId="2" borderId="7" xfId="1" applyNumberFormat="1" applyFont="1" applyFill="1" applyBorder="1"/>
    <xf numFmtId="172" fontId="3" fillId="2" borderId="0" xfId="0" applyNumberFormat="1" applyFont="1" applyFill="1" applyAlignment="1">
      <alignment horizontal="center"/>
    </xf>
    <xf numFmtId="167" fontId="10" fillId="4" borderId="1" xfId="1" applyNumberFormat="1" applyFont="1" applyFill="1" applyBorder="1" applyAlignment="1">
      <alignment horizontal="center" vertical="center"/>
    </xf>
    <xf numFmtId="167" fontId="10" fillId="4" borderId="0" xfId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26" fillId="12" borderId="1" xfId="0" applyFont="1" applyFill="1" applyBorder="1" applyAlignment="1">
      <alignment horizontal="center"/>
    </xf>
    <xf numFmtId="164" fontId="26" fillId="12" borderId="1" xfId="1" applyFont="1" applyFill="1" applyBorder="1" applyAlignment="1">
      <alignment horizontal="center"/>
    </xf>
    <xf numFmtId="167" fontId="3" fillId="4" borderId="0" xfId="1" applyNumberFormat="1" applyFont="1" applyFill="1" applyAlignment="1">
      <alignment horizontal="center"/>
    </xf>
    <xf numFmtId="167" fontId="2" fillId="4" borderId="0" xfId="1" applyNumberFormat="1" applyFont="1" applyFill="1" applyAlignment="1">
      <alignment horizontal="center"/>
    </xf>
    <xf numFmtId="167" fontId="2" fillId="4" borderId="1" xfId="1" applyNumberFormat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7" fontId="3" fillId="0" borderId="6" xfId="1" applyNumberFormat="1" applyFont="1" applyBorder="1"/>
    <xf numFmtId="167" fontId="3" fillId="0" borderId="0" xfId="1" applyNumberFormat="1" applyFont="1" applyBorder="1"/>
    <xf numFmtId="167" fontId="2" fillId="0" borderId="0" xfId="1" applyNumberFormat="1" applyFont="1"/>
    <xf numFmtId="167" fontId="38" fillId="0" borderId="0" xfId="1" applyNumberFormat="1" applyFont="1"/>
    <xf numFmtId="167" fontId="26" fillId="0" borderId="0" xfId="1" applyNumberFormat="1" applyFont="1"/>
    <xf numFmtId="168" fontId="3" fillId="0" borderId="1" xfId="1" applyNumberFormat="1" applyFont="1" applyBorder="1" applyAlignment="1">
      <alignment horizontal="center"/>
    </xf>
    <xf numFmtId="167" fontId="35" fillId="0" borderId="0" xfId="1" applyNumberFormat="1" applyFont="1"/>
    <xf numFmtId="167" fontId="3" fillId="4" borderId="0" xfId="1" applyNumberFormat="1" applyFont="1" applyFill="1" applyAlignment="1">
      <alignment horizontal="left"/>
    </xf>
    <xf numFmtId="167" fontId="3" fillId="4" borderId="1" xfId="1" applyNumberFormat="1" applyFont="1" applyFill="1" applyBorder="1" applyAlignment="1">
      <alignment horizontal="left"/>
    </xf>
    <xf numFmtId="167" fontId="26" fillId="4" borderId="0" xfId="1" applyNumberFormat="1" applyFont="1" applyFill="1" applyAlignment="1">
      <alignment horizontal="center"/>
    </xf>
    <xf numFmtId="167" fontId="38" fillId="4" borderId="0" xfId="1" applyNumberFormat="1" applyFont="1" applyFill="1"/>
    <xf numFmtId="167" fontId="47" fillId="4" borderId="0" xfId="1" applyNumberFormat="1" applyFont="1" applyFill="1"/>
    <xf numFmtId="164" fontId="26" fillId="2" borderId="7" xfId="1" applyFont="1" applyFill="1" applyBorder="1" applyAlignment="1"/>
    <xf numFmtId="167" fontId="46" fillId="4" borderId="0" xfId="1" applyNumberFormat="1" applyFont="1" applyFill="1" applyAlignment="1">
      <alignment horizontal="left"/>
    </xf>
    <xf numFmtId="164" fontId="3" fillId="4" borderId="0" xfId="1" applyNumberFormat="1" applyFont="1" applyFill="1"/>
    <xf numFmtId="164" fontId="2" fillId="4" borderId="1" xfId="1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/>
    <xf numFmtId="164" fontId="3" fillId="4" borderId="0" xfId="1" applyNumberFormat="1" applyFont="1" applyFill="1" applyAlignment="1">
      <alignment horizontal="center"/>
    </xf>
    <xf numFmtId="164" fontId="3" fillId="4" borderId="0" xfId="1" applyNumberFormat="1" applyFont="1" applyFill="1" applyAlignment="1"/>
    <xf numFmtId="167" fontId="35" fillId="4" borderId="0" xfId="1" applyNumberFormat="1" applyFont="1" applyFill="1" applyAlignment="1">
      <alignment horizontal="left"/>
    </xf>
    <xf numFmtId="167" fontId="6" fillId="4" borderId="1" xfId="1" applyNumberFormat="1" applyFont="1" applyFill="1" applyBorder="1" applyAlignment="1">
      <alignment horizontal="center" vertical="top"/>
    </xf>
    <xf numFmtId="0" fontId="17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4" fillId="2" borderId="0" xfId="0" applyFont="1" applyFill="1" applyAlignment="1">
      <alignment horizontal="left"/>
    </xf>
    <xf numFmtId="167" fontId="3" fillId="4" borderId="0" xfId="0" applyNumberFormat="1" applyFont="1" applyFill="1" applyAlignment="1">
      <alignment horizontal="center"/>
    </xf>
    <xf numFmtId="164" fontId="3" fillId="4" borderId="0" xfId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67" fontId="26" fillId="4" borderId="0" xfId="1" applyNumberFormat="1" applyFont="1" applyFill="1"/>
    <xf numFmtId="164" fontId="2" fillId="4" borderId="0" xfId="1" applyFont="1" applyFill="1"/>
    <xf numFmtId="164" fontId="6" fillId="4" borderId="0" xfId="1" applyFont="1" applyFill="1"/>
    <xf numFmtId="167" fontId="10" fillId="4" borderId="1" xfId="1" applyNumberFormat="1" applyFont="1" applyFill="1" applyBorder="1"/>
    <xf numFmtId="167" fontId="3" fillId="4" borderId="0" xfId="0" applyNumberFormat="1" applyFont="1" applyFill="1" applyAlignment="1"/>
    <xf numFmtId="165" fontId="27" fillId="4" borderId="1" xfId="0" applyNumberFormat="1" applyFont="1" applyFill="1" applyBorder="1" applyAlignment="1">
      <alignment horizontal="center"/>
    </xf>
    <xf numFmtId="4" fontId="27" fillId="4" borderId="3" xfId="0" applyNumberFormat="1" applyFont="1" applyFill="1" applyBorder="1" applyAlignment="1">
      <alignment horizontal="center"/>
    </xf>
    <xf numFmtId="4" fontId="27" fillId="4" borderId="1" xfId="0" applyNumberFormat="1" applyFont="1" applyFill="1" applyBorder="1" applyAlignment="1">
      <alignment horizontal="center"/>
    </xf>
    <xf numFmtId="166" fontId="27" fillId="4" borderId="1" xfId="0" applyNumberFormat="1" applyFont="1" applyFill="1" applyBorder="1" applyAlignment="1">
      <alignment horizontal="center"/>
    </xf>
    <xf numFmtId="2" fontId="27" fillId="4" borderId="1" xfId="0" applyNumberFormat="1" applyFont="1" applyFill="1" applyBorder="1" applyAlignment="1">
      <alignment horizontal="center"/>
    </xf>
    <xf numFmtId="164" fontId="2" fillId="0" borderId="1" xfId="1" applyNumberFormat="1" applyFont="1" applyBorder="1"/>
    <xf numFmtId="164" fontId="2" fillId="0" borderId="0" xfId="1" applyNumberFormat="1" applyFont="1" applyBorder="1"/>
    <xf numFmtId="164" fontId="2" fillId="0" borderId="1" xfId="1" applyFont="1" applyBorder="1"/>
    <xf numFmtId="164" fontId="2" fillId="0" borderId="0" xfId="1" applyFont="1" applyBorder="1"/>
    <xf numFmtId="0" fontId="2" fillId="0" borderId="0" xfId="0" applyFont="1" applyBorder="1" applyAlignment="1">
      <alignment horizontal="center"/>
    </xf>
    <xf numFmtId="164" fontId="26" fillId="0" borderId="0" xfId="1" applyNumberFormat="1" applyFont="1"/>
    <xf numFmtId="164" fontId="26" fillId="0" borderId="0" xfId="0" applyNumberFormat="1" applyFont="1"/>
    <xf numFmtId="164" fontId="27" fillId="0" borderId="0" xfId="1" applyNumberFormat="1" applyFont="1"/>
    <xf numFmtId="168" fontId="26" fillId="0" borderId="0" xfId="0" applyNumberFormat="1" applyFont="1"/>
    <xf numFmtId="0" fontId="48" fillId="4" borderId="0" xfId="0" applyFont="1" applyFill="1" applyAlignment="1">
      <alignment horizontal="center" wrapText="1"/>
    </xf>
    <xf numFmtId="0" fontId="27" fillId="4" borderId="0" xfId="0" applyFont="1" applyFill="1" applyAlignment="1">
      <alignment horizontal="center"/>
    </xf>
    <xf numFmtId="0" fontId="45" fillId="4" borderId="1" xfId="0" applyFont="1" applyFill="1" applyBorder="1" applyAlignment="1">
      <alignment horizontal="center" vertical="center"/>
    </xf>
    <xf numFmtId="4" fontId="27" fillId="4" borderId="0" xfId="0" applyNumberFormat="1" applyFont="1" applyFill="1" applyBorder="1" applyAlignment="1">
      <alignment horizontal="center"/>
    </xf>
    <xf numFmtId="4" fontId="27" fillId="4" borderId="7" xfId="0" applyNumberFormat="1" applyFont="1" applyFill="1" applyBorder="1" applyAlignment="1">
      <alignment horizontal="center"/>
    </xf>
    <xf numFmtId="2" fontId="27" fillId="4" borderId="0" xfId="0" applyNumberFormat="1" applyFont="1" applyFill="1" applyBorder="1" applyAlignment="1">
      <alignment horizontal="center"/>
    </xf>
    <xf numFmtId="164" fontId="1" fillId="0" borderId="0" xfId="1" applyFont="1"/>
    <xf numFmtId="167" fontId="20" fillId="0" borderId="0" xfId="1" applyNumberFormat="1" applyFont="1"/>
    <xf numFmtId="0" fontId="27" fillId="4" borderId="0" xfId="0" applyFont="1" applyFill="1"/>
    <xf numFmtId="164" fontId="27" fillId="4" borderId="0" xfId="1" applyFont="1" applyFill="1"/>
    <xf numFmtId="167" fontId="27" fillId="4" borderId="0" xfId="1" applyNumberFormat="1" applyFont="1" applyFill="1" applyAlignment="1">
      <alignment horizontal="center"/>
    </xf>
    <xf numFmtId="167" fontId="27" fillId="4" borderId="0" xfId="1" applyNumberFormat="1" applyFont="1" applyFill="1" applyAlignment="1">
      <alignment horizontal="left"/>
    </xf>
    <xf numFmtId="167" fontId="27" fillId="4" borderId="0" xfId="1" applyNumberFormat="1" applyFont="1" applyFill="1"/>
    <xf numFmtId="167" fontId="45" fillId="4" borderId="1" xfId="1" applyNumberFormat="1" applyFont="1" applyFill="1" applyBorder="1" applyAlignment="1">
      <alignment horizontal="center" vertical="center"/>
    </xf>
    <xf numFmtId="167" fontId="27" fillId="4" borderId="1" xfId="1" applyNumberFormat="1" applyFont="1" applyFill="1" applyBorder="1" applyAlignment="1">
      <alignment horizontal="center"/>
    </xf>
    <xf numFmtId="167" fontId="27" fillId="4" borderId="1" xfId="1" applyNumberFormat="1" applyFont="1" applyFill="1" applyBorder="1" applyAlignment="1">
      <alignment horizontal="left"/>
    </xf>
    <xf numFmtId="0" fontId="27" fillId="4" borderId="1" xfId="0" applyFont="1" applyFill="1" applyBorder="1" applyAlignment="1">
      <alignment horizontal="center"/>
    </xf>
    <xf numFmtId="167" fontId="27" fillId="4" borderId="1" xfId="1" applyNumberFormat="1" applyFont="1" applyFill="1" applyBorder="1"/>
    <xf numFmtId="164" fontId="27" fillId="4" borderId="0" xfId="1" applyFont="1" applyFill="1" applyAlignment="1">
      <alignment horizontal="center"/>
    </xf>
    <xf numFmtId="43" fontId="27" fillId="4" borderId="0" xfId="0" applyNumberFormat="1" applyFont="1" applyFill="1" applyAlignment="1">
      <alignment horizontal="center"/>
    </xf>
    <xf numFmtId="167" fontId="27" fillId="4" borderId="1" xfId="1" applyNumberFormat="1" applyFont="1" applyFill="1" applyBorder="1" applyAlignment="1"/>
    <xf numFmtId="0" fontId="27" fillId="4" borderId="0" xfId="0" applyFont="1" applyFill="1" applyAlignment="1"/>
    <xf numFmtId="164" fontId="27" fillId="4" borderId="0" xfId="1" applyFont="1" applyFill="1" applyAlignment="1"/>
    <xf numFmtId="167" fontId="49" fillId="4" borderId="1" xfId="1" applyNumberFormat="1" applyFont="1" applyFill="1" applyBorder="1" applyAlignment="1">
      <alignment horizontal="center" vertical="top"/>
    </xf>
    <xf numFmtId="167" fontId="27" fillId="4" borderId="0" xfId="1" applyNumberFormat="1" applyFont="1" applyFill="1" applyAlignment="1"/>
    <xf numFmtId="167" fontId="45" fillId="4" borderId="0" xfId="1" applyNumberFormat="1" applyFont="1" applyFill="1" applyAlignment="1">
      <alignment horizontal="center"/>
    </xf>
    <xf numFmtId="167" fontId="45" fillId="4" borderId="0" xfId="1" applyNumberFormat="1" applyFont="1" applyFill="1" applyAlignment="1">
      <alignment horizontal="left"/>
    </xf>
    <xf numFmtId="0" fontId="7" fillId="2" borderId="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169" fontId="3" fillId="2" borderId="4" xfId="0" applyNumberFormat="1" applyFont="1" applyFill="1" applyBorder="1" applyAlignment="1">
      <alignment horizontal="center"/>
    </xf>
    <xf numFmtId="169" fontId="3" fillId="2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43" fontId="6" fillId="2" borderId="4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7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2" borderId="9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3" fillId="5" borderId="4" xfId="0" applyFont="1" applyFill="1" applyBorder="1" applyAlignment="1">
      <alignment horizontal="center"/>
    </xf>
    <xf numFmtId="0" fontId="23" fillId="5" borderId="9" xfId="0" applyFont="1" applyFill="1" applyBorder="1" applyAlignment="1">
      <alignment horizontal="center"/>
    </xf>
    <xf numFmtId="0" fontId="23" fillId="5" borderId="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4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4" fontId="2" fillId="4" borderId="4" xfId="0" applyNumberFormat="1" applyFont="1" applyFill="1" applyBorder="1" applyAlignment="1">
      <alignment horizontal="center" vertical="center" wrapText="1"/>
    </xf>
    <xf numFmtId="4" fontId="2" fillId="4" borderId="9" xfId="0" applyNumberFormat="1" applyFont="1" applyFill="1" applyBorder="1" applyAlignment="1">
      <alignment horizontal="center" vertical="center" wrapText="1"/>
    </xf>
    <xf numFmtId="4" fontId="2" fillId="4" borderId="5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23" fillId="4" borderId="4" xfId="0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21" fillId="0" borderId="0" xfId="1" applyFont="1" applyAlignment="1">
      <alignment horizontal="center"/>
    </xf>
    <xf numFmtId="0" fontId="25" fillId="4" borderId="12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38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8" fillId="4" borderId="4" xfId="0" applyFont="1" applyFill="1" applyBorder="1" applyAlignment="1">
      <alignment horizontal="center"/>
    </xf>
    <xf numFmtId="0" fontId="38" fillId="4" borderId="9" xfId="0" applyFont="1" applyFill="1" applyBorder="1" applyAlignment="1">
      <alignment horizontal="center"/>
    </xf>
    <xf numFmtId="0" fontId="38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164" fontId="2" fillId="4" borderId="4" xfId="1" applyNumberFormat="1" applyFont="1" applyFill="1" applyBorder="1" applyAlignment="1">
      <alignment horizontal="center"/>
    </xf>
    <xf numFmtId="164" fontId="2" fillId="4" borderId="5" xfId="1" applyNumberFormat="1" applyFont="1" applyFill="1" applyBorder="1" applyAlignment="1">
      <alignment horizontal="center"/>
    </xf>
    <xf numFmtId="164" fontId="6" fillId="4" borderId="4" xfId="1" applyNumberFormat="1" applyFont="1" applyFill="1" applyBorder="1" applyAlignment="1">
      <alignment horizontal="center" vertical="top"/>
    </xf>
    <xf numFmtId="164" fontId="6" fillId="4" borderId="5" xfId="1" applyNumberFormat="1" applyFont="1" applyFill="1" applyBorder="1" applyAlignment="1">
      <alignment horizontal="center" vertical="top"/>
    </xf>
    <xf numFmtId="167" fontId="6" fillId="4" borderId="4" xfId="1" applyNumberFormat="1" applyFont="1" applyFill="1" applyBorder="1" applyAlignment="1">
      <alignment horizontal="center"/>
    </xf>
    <xf numFmtId="167" fontId="6" fillId="4" borderId="9" xfId="1" applyNumberFormat="1" applyFont="1" applyFill="1" applyBorder="1" applyAlignment="1">
      <alignment horizontal="center"/>
    </xf>
    <xf numFmtId="167" fontId="6" fillId="4" borderId="5" xfId="1" applyNumberFormat="1" applyFont="1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164" fontId="3" fillId="4" borderId="5" xfId="1" applyNumberFormat="1" applyFont="1" applyFill="1" applyBorder="1" applyAlignment="1">
      <alignment horizontal="center"/>
    </xf>
    <xf numFmtId="164" fontId="27" fillId="4" borderId="4" xfId="1" applyNumberFormat="1" applyFont="1" applyFill="1" applyBorder="1" applyAlignment="1">
      <alignment horizontal="center"/>
    </xf>
    <xf numFmtId="164" fontId="27" fillId="4" borderId="5" xfId="1" applyNumberFormat="1" applyFont="1" applyFill="1" applyBorder="1" applyAlignment="1">
      <alignment horizontal="center"/>
    </xf>
    <xf numFmtId="164" fontId="49" fillId="4" borderId="4" xfId="1" applyNumberFormat="1" applyFont="1" applyFill="1" applyBorder="1" applyAlignment="1">
      <alignment horizontal="center" vertical="top"/>
    </xf>
    <xf numFmtId="164" fontId="49" fillId="4" borderId="5" xfId="1" applyNumberFormat="1" applyFont="1" applyFill="1" applyBorder="1" applyAlignment="1">
      <alignment horizontal="center" vertical="top"/>
    </xf>
    <xf numFmtId="167" fontId="49" fillId="4" borderId="4" xfId="1" applyNumberFormat="1" applyFont="1" applyFill="1" applyBorder="1" applyAlignment="1">
      <alignment horizontal="center"/>
    </xf>
    <xf numFmtId="167" fontId="49" fillId="4" borderId="9" xfId="1" applyNumberFormat="1" applyFont="1" applyFill="1" applyBorder="1" applyAlignment="1">
      <alignment horizontal="center"/>
    </xf>
    <xf numFmtId="167" fontId="49" fillId="4" borderId="5" xfId="1" applyNumberFormat="1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5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00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2</xdr:row>
      <xdr:rowOff>19049</xdr:rowOff>
    </xdr:from>
    <xdr:to>
      <xdr:col>3</xdr:col>
      <xdr:colOff>0</xdr:colOff>
      <xdr:row>11</xdr:row>
      <xdr:rowOff>19049</xdr:rowOff>
    </xdr:to>
    <xdr:cxnSp macro="">
      <xdr:nvCxnSpPr>
        <xdr:cNvPr id="5" name="Connecteur droit 4"/>
        <xdr:cNvCxnSpPr/>
      </xdr:nvCxnSpPr>
      <xdr:spPr>
        <a:xfrm rot="16200000" flipH="1">
          <a:off x="790575" y="1228724"/>
          <a:ext cx="1457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2</xdr:row>
      <xdr:rowOff>28575</xdr:rowOff>
    </xdr:from>
    <xdr:to>
      <xdr:col>4</xdr:col>
      <xdr:colOff>752475</xdr:colOff>
      <xdr:row>11</xdr:row>
      <xdr:rowOff>28575</xdr:rowOff>
    </xdr:to>
    <xdr:cxnSp macro="">
      <xdr:nvCxnSpPr>
        <xdr:cNvPr id="6" name="Connecteur droit 5"/>
        <xdr:cNvCxnSpPr/>
      </xdr:nvCxnSpPr>
      <xdr:spPr>
        <a:xfrm rot="16200000" flipH="1">
          <a:off x="1843088" y="1262062"/>
          <a:ext cx="15049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2</xdr:row>
      <xdr:rowOff>19050</xdr:rowOff>
    </xdr:from>
    <xdr:to>
      <xdr:col>5</xdr:col>
      <xdr:colOff>0</xdr:colOff>
      <xdr:row>2</xdr:row>
      <xdr:rowOff>20638</xdr:rowOff>
    </xdr:to>
    <xdr:cxnSp macro="">
      <xdr:nvCxnSpPr>
        <xdr:cNvPr id="8" name="Connecteur droit 7"/>
        <xdr:cNvCxnSpPr/>
      </xdr:nvCxnSpPr>
      <xdr:spPr>
        <a:xfrm>
          <a:off x="1514475" y="504825"/>
          <a:ext cx="1533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19050</xdr:rowOff>
    </xdr:from>
    <xdr:to>
      <xdr:col>4</xdr:col>
      <xdr:colOff>742950</xdr:colOff>
      <xdr:row>11</xdr:row>
      <xdr:rowOff>28576</xdr:rowOff>
    </xdr:to>
    <xdr:cxnSp macro="">
      <xdr:nvCxnSpPr>
        <xdr:cNvPr id="10" name="Connecteur droit 9"/>
        <xdr:cNvCxnSpPr/>
      </xdr:nvCxnSpPr>
      <xdr:spPr>
        <a:xfrm flipV="1">
          <a:off x="1085850" y="2009775"/>
          <a:ext cx="150495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542132</xdr:colOff>
      <xdr:row>5</xdr:row>
      <xdr:rowOff>47629</xdr:rowOff>
    </xdr:from>
    <xdr:to>
      <xdr:col>3</xdr:col>
      <xdr:colOff>542925</xdr:colOff>
      <xdr:row>7</xdr:row>
      <xdr:rowOff>124619</xdr:rowOff>
    </xdr:to>
    <xdr:cxnSp macro="">
      <xdr:nvCxnSpPr>
        <xdr:cNvPr id="12" name="Connecteur droit 11"/>
        <xdr:cNvCxnSpPr/>
      </xdr:nvCxnSpPr>
      <xdr:spPr>
        <a:xfrm rot="5400000">
          <a:off x="1866109" y="1219202"/>
          <a:ext cx="400840" cy="7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7</xdr:row>
      <xdr:rowOff>114300</xdr:rowOff>
    </xdr:from>
    <xdr:to>
      <xdr:col>4</xdr:col>
      <xdr:colOff>180975</xdr:colOff>
      <xdr:row>7</xdr:row>
      <xdr:rowOff>115888</xdr:rowOff>
    </xdr:to>
    <xdr:cxnSp macro="">
      <xdr:nvCxnSpPr>
        <xdr:cNvPr id="15" name="Connecteur droit 14"/>
        <xdr:cNvCxnSpPr/>
      </xdr:nvCxnSpPr>
      <xdr:spPr>
        <a:xfrm>
          <a:off x="2076450" y="1409700"/>
          <a:ext cx="39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5</xdr:row>
      <xdr:rowOff>28575</xdr:rowOff>
    </xdr:from>
    <xdr:to>
      <xdr:col>4</xdr:col>
      <xdr:colOff>171450</xdr:colOff>
      <xdr:row>5</xdr:row>
      <xdr:rowOff>30163</xdr:rowOff>
    </xdr:to>
    <xdr:cxnSp macro="">
      <xdr:nvCxnSpPr>
        <xdr:cNvPr id="17" name="Connecteur droit 16"/>
        <xdr:cNvCxnSpPr/>
      </xdr:nvCxnSpPr>
      <xdr:spPr>
        <a:xfrm>
          <a:off x="2066925" y="1000125"/>
          <a:ext cx="39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5</xdr:row>
      <xdr:rowOff>38100</xdr:rowOff>
    </xdr:from>
    <xdr:to>
      <xdr:col>4</xdr:col>
      <xdr:colOff>181768</xdr:colOff>
      <xdr:row>7</xdr:row>
      <xdr:rowOff>115090</xdr:rowOff>
    </xdr:to>
    <xdr:cxnSp macro="">
      <xdr:nvCxnSpPr>
        <xdr:cNvPr id="18" name="Connecteur droit 17"/>
        <xdr:cNvCxnSpPr/>
      </xdr:nvCxnSpPr>
      <xdr:spPr>
        <a:xfrm rot="5400000">
          <a:off x="2266952" y="1209673"/>
          <a:ext cx="400840" cy="7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2</xdr:row>
      <xdr:rowOff>19050</xdr:rowOff>
    </xdr:from>
    <xdr:to>
      <xdr:col>3</xdr:col>
      <xdr:colOff>542925</xdr:colOff>
      <xdr:row>5</xdr:row>
      <xdr:rowOff>47625</xdr:rowOff>
    </xdr:to>
    <xdr:cxnSp macro="">
      <xdr:nvCxnSpPr>
        <xdr:cNvPr id="20" name="Connecteur droit 19"/>
        <xdr:cNvCxnSpPr/>
      </xdr:nvCxnSpPr>
      <xdr:spPr>
        <a:xfrm>
          <a:off x="1514475" y="504825"/>
          <a:ext cx="552450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752476</xdr:colOff>
      <xdr:row>7</xdr:row>
      <xdr:rowOff>104775</xdr:rowOff>
    </xdr:from>
    <xdr:to>
      <xdr:col>3</xdr:col>
      <xdr:colOff>542926</xdr:colOff>
      <xdr:row>11</xdr:row>
      <xdr:rowOff>38100</xdr:rowOff>
    </xdr:to>
    <xdr:cxnSp macro="">
      <xdr:nvCxnSpPr>
        <xdr:cNvPr id="23" name="Connecteur droit 22"/>
        <xdr:cNvCxnSpPr/>
      </xdr:nvCxnSpPr>
      <xdr:spPr>
        <a:xfrm rot="5400000" flipH="1" flipV="1">
          <a:off x="1500188" y="1414463"/>
          <a:ext cx="581025" cy="55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</xdr:row>
      <xdr:rowOff>19050</xdr:rowOff>
    </xdr:from>
    <xdr:to>
      <xdr:col>4</xdr:col>
      <xdr:colOff>752475</xdr:colOff>
      <xdr:row>5</xdr:row>
      <xdr:rowOff>28575</xdr:rowOff>
    </xdr:to>
    <xdr:cxnSp macro="">
      <xdr:nvCxnSpPr>
        <xdr:cNvPr id="25" name="Connecteur droit 24"/>
        <xdr:cNvCxnSpPr/>
      </xdr:nvCxnSpPr>
      <xdr:spPr>
        <a:xfrm flipV="1">
          <a:off x="2466975" y="504825"/>
          <a:ext cx="571500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7</xdr:row>
      <xdr:rowOff>114300</xdr:rowOff>
    </xdr:from>
    <xdr:to>
      <xdr:col>4</xdr:col>
      <xdr:colOff>752475</xdr:colOff>
      <xdr:row>11</xdr:row>
      <xdr:rowOff>28575</xdr:rowOff>
    </xdr:to>
    <xdr:cxnSp macro="">
      <xdr:nvCxnSpPr>
        <xdr:cNvPr id="27" name="Connecteur droit 26"/>
        <xdr:cNvCxnSpPr/>
      </xdr:nvCxnSpPr>
      <xdr:spPr>
        <a:xfrm>
          <a:off x="2466975" y="1409700"/>
          <a:ext cx="571500" cy="56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57150</xdr:rowOff>
    </xdr:from>
    <xdr:to>
      <xdr:col>9</xdr:col>
      <xdr:colOff>9525</xdr:colOff>
      <xdr:row>11</xdr:row>
      <xdr:rowOff>58738</xdr:rowOff>
    </xdr:to>
    <xdr:cxnSp macro="">
      <xdr:nvCxnSpPr>
        <xdr:cNvPr id="28" name="Connecteur droit 27"/>
        <xdr:cNvCxnSpPr/>
      </xdr:nvCxnSpPr>
      <xdr:spPr>
        <a:xfrm>
          <a:off x="4467225" y="2133600"/>
          <a:ext cx="1533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752475</xdr:colOff>
      <xdr:row>9</xdr:row>
      <xdr:rowOff>67469</xdr:rowOff>
    </xdr:from>
    <xdr:to>
      <xdr:col>7</xdr:col>
      <xdr:colOff>795</xdr:colOff>
      <xdr:row>11</xdr:row>
      <xdr:rowOff>57150</xdr:rowOff>
    </xdr:to>
    <xdr:cxnSp macro="">
      <xdr:nvCxnSpPr>
        <xdr:cNvPr id="30" name="Connecteur droit 29"/>
        <xdr:cNvCxnSpPr/>
      </xdr:nvCxnSpPr>
      <xdr:spPr>
        <a:xfrm rot="5400000" flipH="1" flipV="1">
          <a:off x="4282282" y="1947862"/>
          <a:ext cx="361156" cy="10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66675</xdr:rowOff>
    </xdr:from>
    <xdr:to>
      <xdr:col>9</xdr:col>
      <xdr:colOff>1588</xdr:colOff>
      <xdr:row>11</xdr:row>
      <xdr:rowOff>57150</xdr:rowOff>
    </xdr:to>
    <xdr:cxnSp macro="">
      <xdr:nvCxnSpPr>
        <xdr:cNvPr id="31" name="Connecteur droit 30"/>
        <xdr:cNvCxnSpPr/>
      </xdr:nvCxnSpPr>
      <xdr:spPr>
        <a:xfrm rot="5400000" flipH="1" flipV="1">
          <a:off x="5811044" y="1951831"/>
          <a:ext cx="3619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57150</xdr:rowOff>
    </xdr:from>
    <xdr:to>
      <xdr:col>9</xdr:col>
      <xdr:colOff>9525</xdr:colOff>
      <xdr:row>9</xdr:row>
      <xdr:rowOff>58738</xdr:rowOff>
    </xdr:to>
    <xdr:cxnSp macro="">
      <xdr:nvCxnSpPr>
        <xdr:cNvPr id="32" name="Connecteur droit 31"/>
        <xdr:cNvCxnSpPr/>
      </xdr:nvCxnSpPr>
      <xdr:spPr>
        <a:xfrm>
          <a:off x="3810000" y="1676400"/>
          <a:ext cx="1533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7</xdr:row>
      <xdr:rowOff>66675</xdr:rowOff>
    </xdr:from>
    <xdr:to>
      <xdr:col>8</xdr:col>
      <xdr:colOff>190500</xdr:colOff>
      <xdr:row>7</xdr:row>
      <xdr:rowOff>68263</xdr:rowOff>
    </xdr:to>
    <xdr:cxnSp macro="">
      <xdr:nvCxnSpPr>
        <xdr:cNvPr id="33" name="Connecteur droit 32"/>
        <xdr:cNvCxnSpPr/>
      </xdr:nvCxnSpPr>
      <xdr:spPr>
        <a:xfrm>
          <a:off x="4371975" y="1362075"/>
          <a:ext cx="39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66675</xdr:rowOff>
    </xdr:from>
    <xdr:to>
      <xdr:col>7</xdr:col>
      <xdr:colOff>571500</xdr:colOff>
      <xdr:row>9</xdr:row>
      <xdr:rowOff>57150</xdr:rowOff>
    </xdr:to>
    <xdr:cxnSp macro="">
      <xdr:nvCxnSpPr>
        <xdr:cNvPr id="35" name="Connecteur droit 34"/>
        <xdr:cNvCxnSpPr/>
      </xdr:nvCxnSpPr>
      <xdr:spPr>
        <a:xfrm flipV="1">
          <a:off x="3810000" y="1362075"/>
          <a:ext cx="57150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7</xdr:row>
      <xdr:rowOff>66676</xdr:rowOff>
    </xdr:from>
    <xdr:to>
      <xdr:col>9</xdr:col>
      <xdr:colOff>0</xdr:colOff>
      <xdr:row>9</xdr:row>
      <xdr:rowOff>57151</xdr:rowOff>
    </xdr:to>
    <xdr:cxnSp macro="">
      <xdr:nvCxnSpPr>
        <xdr:cNvPr id="38" name="Connecteur droit 37"/>
        <xdr:cNvCxnSpPr/>
      </xdr:nvCxnSpPr>
      <xdr:spPr>
        <a:xfrm rot="10800000">
          <a:off x="4762500" y="1362076"/>
          <a:ext cx="57150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256381</xdr:colOff>
      <xdr:row>7</xdr:row>
      <xdr:rowOff>48419</xdr:rowOff>
    </xdr:from>
    <xdr:to>
      <xdr:col>9</xdr:col>
      <xdr:colOff>257969</xdr:colOff>
      <xdr:row>9</xdr:row>
      <xdr:rowOff>48419</xdr:rowOff>
    </xdr:to>
    <xdr:cxnSp macro="">
      <xdr:nvCxnSpPr>
        <xdr:cNvPr id="41" name="Connecteur droit avec flèche 40"/>
        <xdr:cNvCxnSpPr/>
      </xdr:nvCxnSpPr>
      <xdr:spPr>
        <a:xfrm rot="5400000" flipH="1" flipV="1">
          <a:off x="5429250" y="1504950"/>
          <a:ext cx="3238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257176</xdr:colOff>
      <xdr:row>7</xdr:row>
      <xdr:rowOff>104774</xdr:rowOff>
    </xdr:from>
    <xdr:to>
      <xdr:col>9</xdr:col>
      <xdr:colOff>258764</xdr:colOff>
      <xdr:row>9</xdr:row>
      <xdr:rowOff>95249</xdr:rowOff>
    </xdr:to>
    <xdr:cxnSp macro="">
      <xdr:nvCxnSpPr>
        <xdr:cNvPr id="42" name="Connecteur droit avec flèche 41"/>
        <xdr:cNvCxnSpPr/>
      </xdr:nvCxnSpPr>
      <xdr:spPr>
        <a:xfrm rot="16200000" flipH="1">
          <a:off x="5434807" y="1556543"/>
          <a:ext cx="3143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1</xdr:rowOff>
    </xdr:from>
    <xdr:to>
      <xdr:col>11</xdr:col>
      <xdr:colOff>9525</xdr:colOff>
      <xdr:row>2</xdr:row>
      <xdr:rowOff>1589</xdr:rowOff>
    </xdr:to>
    <xdr:cxnSp macro="">
      <xdr:nvCxnSpPr>
        <xdr:cNvPr id="49" name="Connecteur droit 48"/>
        <xdr:cNvCxnSpPr/>
      </xdr:nvCxnSpPr>
      <xdr:spPr>
        <a:xfrm>
          <a:off x="6677025" y="485776"/>
          <a:ext cx="1533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19050</xdr:rowOff>
    </xdr:from>
    <xdr:to>
      <xdr:col>11</xdr:col>
      <xdr:colOff>0</xdr:colOff>
      <xdr:row>5</xdr:row>
      <xdr:rowOff>20638</xdr:rowOff>
    </xdr:to>
    <xdr:cxnSp macro="">
      <xdr:nvCxnSpPr>
        <xdr:cNvPr id="61" name="Connecteur droit 60"/>
        <xdr:cNvCxnSpPr/>
      </xdr:nvCxnSpPr>
      <xdr:spPr>
        <a:xfrm>
          <a:off x="7239000" y="990600"/>
          <a:ext cx="39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9</xdr:row>
      <xdr:rowOff>104775</xdr:rowOff>
    </xdr:from>
    <xdr:to>
      <xdr:col>9</xdr:col>
      <xdr:colOff>258763</xdr:colOff>
      <xdr:row>11</xdr:row>
      <xdr:rowOff>85725</xdr:rowOff>
    </xdr:to>
    <xdr:cxnSp macro="">
      <xdr:nvCxnSpPr>
        <xdr:cNvPr id="72" name="Connecteur droit avec flèche 71"/>
        <xdr:cNvCxnSpPr/>
      </xdr:nvCxnSpPr>
      <xdr:spPr>
        <a:xfrm rot="16200000" flipH="1">
          <a:off x="6072981" y="1985169"/>
          <a:ext cx="3524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9</xdr:row>
      <xdr:rowOff>76202</xdr:rowOff>
    </xdr:from>
    <xdr:to>
      <xdr:col>9</xdr:col>
      <xdr:colOff>258762</xdr:colOff>
      <xdr:row>10</xdr:row>
      <xdr:rowOff>95251</xdr:rowOff>
    </xdr:to>
    <xdr:cxnSp macro="">
      <xdr:nvCxnSpPr>
        <xdr:cNvPr id="73" name="Connecteur droit avec flèche 72"/>
        <xdr:cNvCxnSpPr/>
      </xdr:nvCxnSpPr>
      <xdr:spPr>
        <a:xfrm rot="5400000" flipH="1" flipV="1">
          <a:off x="6134894" y="1894683"/>
          <a:ext cx="228599" cy="15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1"/>
  <sheetViews>
    <sheetView topLeftCell="A238" zoomScale="98" zoomScaleNormal="98" workbookViewId="0">
      <selection activeCell="B254" sqref="B254"/>
    </sheetView>
  </sheetViews>
  <sheetFormatPr baseColWidth="10" defaultRowHeight="12.75"/>
  <cols>
    <col min="1" max="1" width="10.7109375" style="3" customWidth="1"/>
    <col min="2" max="2" width="44.42578125" style="1" customWidth="1"/>
    <col min="3" max="3" width="9.7109375" style="3" customWidth="1"/>
    <col min="4" max="4" width="11.5703125" style="3" customWidth="1"/>
    <col min="5" max="5" width="22" style="3" customWidth="1"/>
    <col min="6" max="6" width="9.7109375" style="3" customWidth="1"/>
    <col min="7" max="7" width="12" style="6" customWidth="1"/>
    <col min="8" max="9" width="14.28515625" style="35" customWidth="1"/>
    <col min="10" max="10" width="12.85546875" style="6" bestFit="1" customWidth="1"/>
    <col min="11" max="16384" width="11.42578125" style="1"/>
  </cols>
  <sheetData>
    <row r="1" spans="1:10" ht="16.5" customHeight="1">
      <c r="A1" s="783" t="s">
        <v>207</v>
      </c>
      <c r="B1" s="783"/>
      <c r="C1" s="783"/>
      <c r="D1" s="783"/>
      <c r="E1" s="783"/>
      <c r="F1" s="783"/>
      <c r="G1" s="783"/>
      <c r="H1" s="783"/>
      <c r="I1" s="783"/>
      <c r="J1" s="1"/>
    </row>
    <row r="2" spans="1:10" ht="16.5" customHeight="1">
      <c r="A2" s="783" t="s">
        <v>208</v>
      </c>
      <c r="B2" s="783"/>
      <c r="C2" s="783"/>
      <c r="D2" s="783"/>
      <c r="E2" s="783"/>
      <c r="F2" s="783"/>
      <c r="G2" s="783"/>
      <c r="H2" s="783"/>
      <c r="I2" s="783"/>
      <c r="J2" s="1"/>
    </row>
    <row r="3" spans="1:10" ht="16.5" customHeight="1">
      <c r="A3" s="784" t="s">
        <v>209</v>
      </c>
      <c r="B3" s="784"/>
      <c r="C3" s="784"/>
      <c r="D3" s="784"/>
      <c r="E3" s="784"/>
      <c r="F3" s="784"/>
      <c r="G3" s="784"/>
      <c r="H3" s="784"/>
      <c r="I3" s="784"/>
      <c r="J3" s="1"/>
    </row>
    <row r="4" spans="1:10" ht="15">
      <c r="A4" s="62"/>
      <c r="B4" s="62"/>
      <c r="C4" s="62"/>
      <c r="D4" s="62"/>
      <c r="E4" s="62"/>
      <c r="F4" s="62"/>
      <c r="G4" s="62"/>
      <c r="H4" s="62"/>
      <c r="I4" s="62"/>
    </row>
    <row r="5" spans="1:10" ht="18" customHeight="1">
      <c r="A5" s="297" t="s">
        <v>128</v>
      </c>
      <c r="B5" s="297"/>
      <c r="C5" s="2"/>
    </row>
    <row r="6" spans="1:10" ht="18" customHeight="1"/>
    <row r="7" spans="1:10" s="3" customFormat="1" ht="18" customHeight="1">
      <c r="A7" s="20" t="s">
        <v>30</v>
      </c>
      <c r="B7" s="20" t="s">
        <v>31</v>
      </c>
      <c r="C7" s="20" t="s">
        <v>12</v>
      </c>
      <c r="D7" s="20" t="s">
        <v>32</v>
      </c>
      <c r="E7" s="20" t="s">
        <v>34</v>
      </c>
      <c r="F7" s="20" t="s">
        <v>12</v>
      </c>
      <c r="G7" s="36" t="s">
        <v>32</v>
      </c>
      <c r="H7" s="37" t="s">
        <v>40</v>
      </c>
      <c r="I7" s="37" t="s">
        <v>33</v>
      </c>
      <c r="J7" s="187"/>
    </row>
    <row r="8" spans="1:10" s="3" customFormat="1" ht="18" customHeight="1">
      <c r="A8" s="86" t="s">
        <v>119</v>
      </c>
      <c r="B8" s="136" t="s">
        <v>120</v>
      </c>
      <c r="C8" s="58" t="s">
        <v>129</v>
      </c>
      <c r="D8" s="119">
        <v>1</v>
      </c>
      <c r="E8" s="138"/>
      <c r="F8" s="138"/>
      <c r="G8" s="139"/>
      <c r="H8" s="135">
        <v>500000</v>
      </c>
      <c r="I8" s="135">
        <f>+D8*H8</f>
        <v>500000</v>
      </c>
      <c r="J8" s="187"/>
    </row>
    <row r="9" spans="1:10" s="3" customFormat="1" ht="29.25" customHeight="1">
      <c r="A9" s="34"/>
      <c r="B9" s="258"/>
      <c r="C9" s="4"/>
      <c r="D9" s="259"/>
      <c r="E9" s="260"/>
      <c r="F9" s="769" t="s">
        <v>130</v>
      </c>
      <c r="G9" s="770"/>
      <c r="H9" s="771"/>
      <c r="I9" s="261">
        <f>SUM(I8)</f>
        <v>500000</v>
      </c>
      <c r="J9" s="187"/>
    </row>
    <row r="10" spans="1:10" ht="18" customHeight="1">
      <c r="A10" s="297" t="s">
        <v>68</v>
      </c>
      <c r="B10" s="297"/>
      <c r="C10" s="2"/>
    </row>
    <row r="11" spans="1:10" ht="18" customHeight="1"/>
    <row r="12" spans="1:10" s="3" customFormat="1" ht="18" customHeight="1">
      <c r="A12" s="20" t="s">
        <v>30</v>
      </c>
      <c r="B12" s="20" t="s">
        <v>31</v>
      </c>
      <c r="C12" s="20" t="s">
        <v>12</v>
      </c>
      <c r="D12" s="20" t="s">
        <v>32</v>
      </c>
      <c r="E12" s="20" t="s">
        <v>34</v>
      </c>
      <c r="F12" s="20" t="s">
        <v>12</v>
      </c>
      <c r="G12" s="36" t="s">
        <v>32</v>
      </c>
      <c r="H12" s="37" t="s">
        <v>40</v>
      </c>
      <c r="I12" s="37" t="s">
        <v>33</v>
      </c>
      <c r="J12" s="187"/>
    </row>
    <row r="13" spans="1:10" s="3" customFormat="1" ht="18" customHeight="1">
      <c r="A13" s="86" t="s">
        <v>0</v>
      </c>
      <c r="B13" s="136" t="s">
        <v>210</v>
      </c>
      <c r="C13" s="58" t="s">
        <v>2</v>
      </c>
      <c r="D13" s="137">
        <f>+'BDE moellon '!D14</f>
        <v>66.408000000000001</v>
      </c>
      <c r="E13" s="138"/>
      <c r="F13" s="138"/>
      <c r="G13" s="139"/>
      <c r="H13" s="135">
        <v>2500</v>
      </c>
      <c r="I13" s="135">
        <f>D13*H13</f>
        <v>166020</v>
      </c>
      <c r="J13" s="187"/>
    </row>
    <row r="14" spans="1:10" s="3" customFormat="1" ht="18" customHeight="1">
      <c r="A14" s="86" t="s">
        <v>211</v>
      </c>
      <c r="B14" s="136" t="s">
        <v>213</v>
      </c>
      <c r="C14" s="58" t="s">
        <v>2</v>
      </c>
      <c r="D14" s="58">
        <v>15.593999999999999</v>
      </c>
      <c r="E14" s="135"/>
      <c r="F14" s="138"/>
      <c r="G14" s="139"/>
      <c r="H14" s="135">
        <v>3000</v>
      </c>
      <c r="I14" s="135">
        <f>D14*H14</f>
        <v>46782</v>
      </c>
      <c r="J14" s="187"/>
    </row>
    <row r="15" spans="1:10" s="3" customFormat="1" ht="18" customHeight="1">
      <c r="A15" s="86" t="s">
        <v>212</v>
      </c>
      <c r="B15" s="136" t="s">
        <v>214</v>
      </c>
      <c r="C15" s="58" t="s">
        <v>2</v>
      </c>
      <c r="D15" s="137"/>
      <c r="E15" s="138"/>
      <c r="F15" s="138"/>
      <c r="G15" s="139"/>
      <c r="H15" s="135"/>
      <c r="I15" s="135">
        <f>+D15*H15</f>
        <v>0</v>
      </c>
      <c r="J15" s="187"/>
    </row>
    <row r="16" spans="1:10" s="3" customFormat="1" ht="28.5" customHeight="1">
      <c r="A16" s="34"/>
      <c r="B16" s="258"/>
      <c r="C16" s="4"/>
      <c r="D16" s="262"/>
      <c r="E16" s="260"/>
      <c r="F16" s="769" t="s">
        <v>67</v>
      </c>
      <c r="G16" s="770"/>
      <c r="H16" s="771"/>
      <c r="I16" s="261">
        <f>SUM(I13:I15)</f>
        <v>212802</v>
      </c>
      <c r="J16" s="187"/>
    </row>
    <row r="17" spans="1:10" ht="18" customHeight="1">
      <c r="A17" s="785" t="s">
        <v>127</v>
      </c>
      <c r="B17" s="785"/>
      <c r="C17" s="785"/>
      <c r="D17" s="785"/>
      <c r="E17" s="49"/>
      <c r="F17" s="54"/>
      <c r="G17" s="54"/>
      <c r="H17" s="54"/>
      <c r="I17" s="57"/>
    </row>
    <row r="18" spans="1:10" ht="18" customHeight="1">
      <c r="A18" s="34"/>
      <c r="B18" s="5"/>
      <c r="C18" s="4"/>
      <c r="D18" s="48"/>
      <c r="E18" s="49"/>
      <c r="F18" s="54"/>
      <c r="G18" s="54"/>
      <c r="H18" s="54"/>
      <c r="I18" s="57"/>
    </row>
    <row r="19" spans="1:10" s="3" customFormat="1" ht="18" customHeight="1">
      <c r="A19" s="20" t="s">
        <v>30</v>
      </c>
      <c r="B19" s="20" t="s">
        <v>31</v>
      </c>
      <c r="C19" s="20" t="s">
        <v>12</v>
      </c>
      <c r="D19" s="20" t="s">
        <v>32</v>
      </c>
      <c r="E19" s="20" t="s">
        <v>34</v>
      </c>
      <c r="F19" s="20" t="s">
        <v>12</v>
      </c>
      <c r="G19" s="36" t="s">
        <v>32</v>
      </c>
      <c r="H19" s="37" t="s">
        <v>40</v>
      </c>
      <c r="I19" s="37" t="s">
        <v>33</v>
      </c>
      <c r="J19" s="187"/>
    </row>
    <row r="20" spans="1:10" ht="40.5">
      <c r="A20" s="33" t="s">
        <v>3</v>
      </c>
      <c r="B20" s="15" t="s">
        <v>361</v>
      </c>
      <c r="C20" s="17" t="s">
        <v>2</v>
      </c>
      <c r="D20" s="26">
        <f>+'BDE moellon '!D22</f>
        <v>3.5049999999999999</v>
      </c>
      <c r="E20" s="27" t="s">
        <v>41</v>
      </c>
      <c r="F20" s="27"/>
      <c r="H20" s="40"/>
      <c r="I20" s="40"/>
    </row>
    <row r="21" spans="1:10" ht="18" customHeight="1">
      <c r="A21" s="25"/>
      <c r="B21" s="15"/>
      <c r="C21" s="17"/>
      <c r="D21" s="26"/>
      <c r="E21" s="39" t="s">
        <v>106</v>
      </c>
      <c r="F21" s="27" t="s">
        <v>23</v>
      </c>
      <c r="G21" s="6">
        <v>11</v>
      </c>
      <c r="H21" s="40">
        <v>26500</v>
      </c>
      <c r="I21" s="40">
        <f>G21*H21</f>
        <v>291500</v>
      </c>
    </row>
    <row r="22" spans="1:10" ht="18" customHeight="1">
      <c r="A22" s="25"/>
      <c r="B22" s="15"/>
      <c r="C22" s="17"/>
      <c r="D22" s="26"/>
      <c r="E22" s="39" t="s">
        <v>42</v>
      </c>
      <c r="F22" s="27" t="s">
        <v>2</v>
      </c>
      <c r="G22" s="123">
        <v>2</v>
      </c>
      <c r="H22" s="40">
        <v>20000</v>
      </c>
      <c r="I22" s="40">
        <f t="shared" ref="I22:I23" si="0">G22*H22</f>
        <v>40000</v>
      </c>
    </row>
    <row r="23" spans="1:10" ht="18" customHeight="1">
      <c r="A23" s="25"/>
      <c r="B23" s="15"/>
      <c r="C23" s="17"/>
      <c r="D23" s="26"/>
      <c r="E23" s="39" t="s">
        <v>348</v>
      </c>
      <c r="F23" s="27" t="s">
        <v>2</v>
      </c>
      <c r="G23" s="124">
        <v>3</v>
      </c>
      <c r="H23" s="40">
        <v>75000</v>
      </c>
      <c r="I23" s="40">
        <f t="shared" si="0"/>
        <v>225000</v>
      </c>
    </row>
    <row r="24" spans="1:10" s="132" customFormat="1" ht="26.25" customHeight="1">
      <c r="A24" s="72" t="s">
        <v>4</v>
      </c>
      <c r="B24" s="289" t="s">
        <v>215</v>
      </c>
      <c r="C24" s="16" t="s">
        <v>2</v>
      </c>
      <c r="D24" s="24">
        <f>+'BDE moellon '!D23</f>
        <v>20.504000000000001</v>
      </c>
      <c r="E24" s="71"/>
      <c r="F24" s="21"/>
      <c r="G24" s="109"/>
      <c r="H24" s="118"/>
      <c r="I24" s="118"/>
      <c r="J24" s="188"/>
    </row>
    <row r="25" spans="1:10" s="132" customFormat="1" ht="18.75" customHeight="1">
      <c r="A25" s="106"/>
      <c r="B25" s="90"/>
      <c r="C25" s="17"/>
      <c r="D25" s="26"/>
      <c r="E25" s="39" t="s">
        <v>38</v>
      </c>
      <c r="F25" s="27" t="s">
        <v>2</v>
      </c>
      <c r="G25" s="110">
        <v>20.504000000000001</v>
      </c>
      <c r="H25" s="79">
        <v>50000</v>
      </c>
      <c r="I25" s="79">
        <f>+G25*H25</f>
        <v>1025200.0000000001</v>
      </c>
      <c r="J25" s="188"/>
    </row>
    <row r="26" spans="1:10" ht="18" customHeight="1">
      <c r="A26" s="74"/>
      <c r="B26" s="75"/>
      <c r="C26" s="19"/>
      <c r="D26" s="41"/>
      <c r="E26" s="42" t="s">
        <v>312</v>
      </c>
      <c r="F26" s="23" t="s">
        <v>2</v>
      </c>
      <c r="G26" s="125">
        <v>0</v>
      </c>
      <c r="H26" s="44">
        <v>40000</v>
      </c>
      <c r="I26" s="44">
        <f>+G26*H26</f>
        <v>0</v>
      </c>
    </row>
    <row r="27" spans="1:10" ht="26.25" customHeight="1">
      <c r="A27" s="72" t="s">
        <v>5</v>
      </c>
      <c r="B27" s="285" t="s">
        <v>216</v>
      </c>
      <c r="C27" s="16" t="s">
        <v>2</v>
      </c>
      <c r="D27" s="24">
        <f>+'BDE moellon '!D24</f>
        <v>11.134</v>
      </c>
      <c r="E27" s="71"/>
      <c r="F27" s="21"/>
      <c r="G27" s="73"/>
      <c r="H27" s="38"/>
      <c r="I27" s="38"/>
    </row>
    <row r="28" spans="1:10" ht="18" customHeight="1">
      <c r="A28" s="307"/>
      <c r="B28" s="308"/>
      <c r="C28" s="17"/>
      <c r="D28" s="26"/>
      <c r="E28" s="39" t="s">
        <v>106</v>
      </c>
      <c r="F28" s="27" t="s">
        <v>23</v>
      </c>
      <c r="G28" s="66">
        <v>67</v>
      </c>
      <c r="H28" s="40">
        <f>H21</f>
        <v>26500</v>
      </c>
      <c r="I28" s="40">
        <f>+G28*H28</f>
        <v>1775500</v>
      </c>
    </row>
    <row r="29" spans="1:10" ht="18" customHeight="1">
      <c r="A29" s="25"/>
      <c r="B29" s="15"/>
      <c r="C29" s="17"/>
      <c r="D29" s="26"/>
      <c r="E29" s="39" t="s">
        <v>42</v>
      </c>
      <c r="F29" s="27" t="s">
        <v>2</v>
      </c>
      <c r="G29" s="124">
        <v>6</v>
      </c>
      <c r="H29" s="40">
        <f>H22</f>
        <v>20000</v>
      </c>
      <c r="I29" s="40">
        <f t="shared" ref="I29:I30" si="1">+G29*H29</f>
        <v>120000</v>
      </c>
    </row>
    <row r="30" spans="1:10" ht="18" customHeight="1">
      <c r="A30" s="22"/>
      <c r="B30" s="18"/>
      <c r="C30" s="19"/>
      <c r="D30" s="41"/>
      <c r="E30" s="39" t="s">
        <v>348</v>
      </c>
      <c r="F30" s="23" t="s">
        <v>2</v>
      </c>
      <c r="G30" s="126">
        <v>9</v>
      </c>
      <c r="H30" s="44">
        <f>H23</f>
        <v>75000</v>
      </c>
      <c r="I30" s="40">
        <f t="shared" si="1"/>
        <v>675000</v>
      </c>
    </row>
    <row r="31" spans="1:10" ht="38.25">
      <c r="A31" s="32" t="s">
        <v>6</v>
      </c>
      <c r="B31" s="285" t="s">
        <v>217</v>
      </c>
      <c r="C31" s="16" t="s">
        <v>2</v>
      </c>
      <c r="D31" s="24">
        <f>+'BDE moellon '!D25</f>
        <v>13.795999999999999</v>
      </c>
      <c r="E31" s="21" t="s">
        <v>41</v>
      </c>
      <c r="F31" s="21"/>
      <c r="H31" s="38"/>
      <c r="I31" s="38"/>
    </row>
    <row r="32" spans="1:10" ht="18" customHeight="1">
      <c r="A32" s="25"/>
      <c r="B32" s="15"/>
      <c r="C32" s="17"/>
      <c r="D32" s="26"/>
      <c r="E32" s="39" t="s">
        <v>106</v>
      </c>
      <c r="F32" s="27" t="s">
        <v>23</v>
      </c>
      <c r="G32" s="6">
        <v>97</v>
      </c>
      <c r="H32" s="40">
        <f>H21</f>
        <v>26500</v>
      </c>
      <c r="I32" s="40">
        <f>G32*H32</f>
        <v>2570500</v>
      </c>
    </row>
    <row r="33" spans="1:9" ht="18" customHeight="1">
      <c r="A33" s="25"/>
      <c r="B33" s="15"/>
      <c r="C33" s="17"/>
      <c r="D33" s="26"/>
      <c r="E33" s="39" t="s">
        <v>42</v>
      </c>
      <c r="F33" s="27" t="s">
        <v>2</v>
      </c>
      <c r="G33" s="123">
        <v>7.5</v>
      </c>
      <c r="H33" s="40">
        <f>H22</f>
        <v>20000</v>
      </c>
      <c r="I33" s="40">
        <f t="shared" ref="I33:I34" si="2">G33*H33</f>
        <v>150000</v>
      </c>
    </row>
    <row r="34" spans="1:9" ht="18" customHeight="1">
      <c r="A34" s="22"/>
      <c r="B34" s="18"/>
      <c r="C34" s="19"/>
      <c r="D34" s="41"/>
      <c r="E34" s="42" t="s">
        <v>348</v>
      </c>
      <c r="F34" s="23" t="s">
        <v>2</v>
      </c>
      <c r="G34" s="126">
        <v>11.5</v>
      </c>
      <c r="H34" s="44">
        <f>H23</f>
        <v>75000</v>
      </c>
      <c r="I34" s="44">
        <f t="shared" si="2"/>
        <v>862500</v>
      </c>
    </row>
    <row r="35" spans="1:9" ht="26.25" customHeight="1">
      <c r="A35" s="33" t="s">
        <v>17</v>
      </c>
      <c r="B35" s="15" t="s">
        <v>218</v>
      </c>
      <c r="C35" s="17" t="s">
        <v>18</v>
      </c>
      <c r="D35" s="28">
        <f>+'BDE moellon '!D26</f>
        <v>965.71999999999991</v>
      </c>
      <c r="E35" s="39"/>
      <c r="F35" s="27"/>
      <c r="H35" s="40"/>
      <c r="I35" s="40"/>
    </row>
    <row r="36" spans="1:9" ht="18" customHeight="1">
      <c r="A36" s="25"/>
      <c r="B36" s="15"/>
      <c r="C36" s="17"/>
      <c r="D36" s="28"/>
      <c r="E36" s="39" t="s">
        <v>35</v>
      </c>
      <c r="F36" s="27" t="s">
        <v>37</v>
      </c>
      <c r="G36" s="6">
        <v>193</v>
      </c>
      <c r="H36" s="40">
        <v>8500</v>
      </c>
      <c r="I36" s="40">
        <f t="shared" ref="I36:I39" si="3">G36*H36</f>
        <v>1640500</v>
      </c>
    </row>
    <row r="37" spans="1:9" ht="18" customHeight="1">
      <c r="A37" s="25"/>
      <c r="B37" s="15"/>
      <c r="C37" s="17"/>
      <c r="D37" s="28"/>
      <c r="E37" s="39" t="s">
        <v>36</v>
      </c>
      <c r="F37" s="27" t="s">
        <v>37</v>
      </c>
      <c r="G37" s="6">
        <v>60</v>
      </c>
      <c r="H37" s="40">
        <v>13000</v>
      </c>
      <c r="I37" s="40">
        <f t="shared" si="3"/>
        <v>780000</v>
      </c>
    </row>
    <row r="38" spans="1:9" ht="18" customHeight="1">
      <c r="A38" s="25"/>
      <c r="B38" s="15"/>
      <c r="C38" s="17"/>
      <c r="D38" s="28"/>
      <c r="E38" s="39" t="s">
        <v>47</v>
      </c>
      <c r="F38" s="27" t="s">
        <v>37</v>
      </c>
      <c r="G38" s="6">
        <v>15</v>
      </c>
      <c r="H38" s="40">
        <v>27000</v>
      </c>
      <c r="I38" s="40">
        <f t="shared" ref="I38" si="4">G38*H38</f>
        <v>405000</v>
      </c>
    </row>
    <row r="39" spans="1:9" ht="18" customHeight="1">
      <c r="A39" s="22"/>
      <c r="B39" s="18"/>
      <c r="C39" s="19"/>
      <c r="D39" s="29"/>
      <c r="E39" s="42" t="s">
        <v>45</v>
      </c>
      <c r="F39" s="23" t="s">
        <v>8</v>
      </c>
      <c r="G39" s="43">
        <v>15</v>
      </c>
      <c r="H39" s="44">
        <v>5000</v>
      </c>
      <c r="I39" s="44">
        <f t="shared" si="3"/>
        <v>75000</v>
      </c>
    </row>
    <row r="40" spans="1:9" ht="18" customHeight="1">
      <c r="A40" s="102" t="s">
        <v>19</v>
      </c>
      <c r="B40" s="284" t="s">
        <v>219</v>
      </c>
      <c r="C40" s="84" t="s">
        <v>1</v>
      </c>
      <c r="D40" s="122"/>
      <c r="E40" s="145"/>
      <c r="F40" s="67"/>
      <c r="G40" s="146"/>
      <c r="H40" s="69"/>
      <c r="I40" s="69">
        <f>+G40*H40</f>
        <v>0</v>
      </c>
    </row>
    <row r="41" spans="1:9" ht="38.25">
      <c r="A41" s="33" t="s">
        <v>65</v>
      </c>
      <c r="B41" s="309" t="s">
        <v>286</v>
      </c>
      <c r="C41" s="17" t="s">
        <v>2</v>
      </c>
      <c r="D41" s="26">
        <f>+'BDE moellon '!D28</f>
        <v>35.466999999999999</v>
      </c>
      <c r="E41" s="10"/>
      <c r="F41" s="10"/>
      <c r="H41" s="40"/>
      <c r="I41" s="40"/>
    </row>
    <row r="42" spans="1:9" ht="18" customHeight="1">
      <c r="A42" s="7"/>
      <c r="B42" s="8"/>
      <c r="C42" s="9"/>
      <c r="D42" s="14"/>
      <c r="E42" s="39" t="s">
        <v>106</v>
      </c>
      <c r="F42" s="27" t="s">
        <v>23</v>
      </c>
      <c r="G42" s="6">
        <v>64</v>
      </c>
      <c r="H42" s="40">
        <f>H21</f>
        <v>26500</v>
      </c>
      <c r="I42" s="40">
        <f t="shared" ref="I42:I45" si="5">G42*H42</f>
        <v>1696000</v>
      </c>
    </row>
    <row r="43" spans="1:9" ht="18" customHeight="1">
      <c r="A43" s="7"/>
      <c r="B43" s="8"/>
      <c r="C43" s="9"/>
      <c r="D43" s="14"/>
      <c r="E43" s="39" t="s">
        <v>42</v>
      </c>
      <c r="F43" s="27" t="s">
        <v>2</v>
      </c>
      <c r="G43" s="6">
        <v>12</v>
      </c>
      <c r="H43" s="40">
        <f>H22</f>
        <v>20000</v>
      </c>
      <c r="I43" s="40">
        <f t="shared" si="5"/>
        <v>240000</v>
      </c>
    </row>
    <row r="44" spans="1:9" ht="18" customHeight="1">
      <c r="A44" s="7"/>
      <c r="B44" s="8"/>
      <c r="C44" s="9"/>
      <c r="D44" s="14"/>
      <c r="E44" s="39" t="s">
        <v>44</v>
      </c>
      <c r="F44" s="27" t="s">
        <v>12</v>
      </c>
      <c r="G44" s="227">
        <v>4600</v>
      </c>
      <c r="H44" s="40">
        <v>450</v>
      </c>
      <c r="I44" s="40">
        <f t="shared" si="5"/>
        <v>2070000</v>
      </c>
    </row>
    <row r="45" spans="1:9" ht="18" customHeight="1">
      <c r="A45" s="11"/>
      <c r="B45" s="12"/>
      <c r="C45" s="13"/>
      <c r="D45" s="45"/>
      <c r="E45" s="42" t="s">
        <v>313</v>
      </c>
      <c r="F45" s="27" t="s">
        <v>2</v>
      </c>
      <c r="G45" s="46">
        <v>10</v>
      </c>
      <c r="H45" s="47">
        <v>50000</v>
      </c>
      <c r="I45" s="44">
        <f t="shared" si="5"/>
        <v>500000</v>
      </c>
    </row>
    <row r="46" spans="1:9" ht="30" customHeight="1">
      <c r="A46" s="263"/>
      <c r="B46" s="264"/>
      <c r="C46" s="265"/>
      <c r="D46" s="266"/>
      <c r="E46" s="267"/>
      <c r="F46" s="769" t="s">
        <v>274</v>
      </c>
      <c r="G46" s="770"/>
      <c r="H46" s="771"/>
      <c r="I46" s="268">
        <f>SUM(I20:I45)</f>
        <v>15141700</v>
      </c>
    </row>
    <row r="47" spans="1:9" ht="18" customHeight="1">
      <c r="A47" s="785" t="s">
        <v>180</v>
      </c>
      <c r="B47" s="785"/>
      <c r="C47" s="785"/>
      <c r="D47" s="785"/>
      <c r="E47" s="49"/>
      <c r="F47" s="54"/>
      <c r="G47" s="54"/>
      <c r="H47" s="54"/>
      <c r="I47" s="57"/>
    </row>
    <row r="48" spans="1:9" ht="18" customHeight="1">
      <c r="A48" s="34"/>
      <c r="B48" s="5"/>
      <c r="C48" s="4"/>
      <c r="D48" s="48"/>
      <c r="E48" s="49"/>
      <c r="F48" s="54"/>
      <c r="G48" s="54"/>
      <c r="H48" s="54"/>
      <c r="I48" s="57"/>
    </row>
    <row r="49" spans="1:10" s="3" customFormat="1" ht="18" customHeight="1">
      <c r="A49" s="20" t="s">
        <v>30</v>
      </c>
      <c r="B49" s="20" t="s">
        <v>31</v>
      </c>
      <c r="C49" s="20" t="s">
        <v>12</v>
      </c>
      <c r="D49" s="20" t="s">
        <v>32</v>
      </c>
      <c r="E49" s="20" t="s">
        <v>34</v>
      </c>
      <c r="F49" s="20" t="s">
        <v>12</v>
      </c>
      <c r="G49" s="36" t="s">
        <v>32</v>
      </c>
      <c r="H49" s="37" t="s">
        <v>40</v>
      </c>
      <c r="I49" s="37" t="s">
        <v>33</v>
      </c>
      <c r="J49" s="187"/>
    </row>
    <row r="50" spans="1:10" ht="38.25">
      <c r="A50" s="32" t="s">
        <v>7</v>
      </c>
      <c r="B50" s="285" t="s">
        <v>276</v>
      </c>
      <c r="C50" s="16" t="s">
        <v>2</v>
      </c>
      <c r="D50" s="24">
        <f>+'BDE moellon '!D34</f>
        <v>50.872</v>
      </c>
      <c r="E50" s="21" t="s">
        <v>41</v>
      </c>
      <c r="F50" s="21"/>
      <c r="H50" s="38"/>
      <c r="I50" s="38"/>
    </row>
    <row r="51" spans="1:10" ht="18" customHeight="1">
      <c r="A51" s="25"/>
      <c r="B51" s="15"/>
      <c r="C51" s="17"/>
      <c r="D51" s="26"/>
      <c r="E51" s="39" t="s">
        <v>106</v>
      </c>
      <c r="F51" s="27" t="s">
        <v>23</v>
      </c>
      <c r="G51" s="6">
        <v>341</v>
      </c>
      <c r="H51" s="40">
        <f>H21</f>
        <v>26500</v>
      </c>
      <c r="I51" s="40">
        <f>G51*H51</f>
        <v>9036500</v>
      </c>
    </row>
    <row r="52" spans="1:10" ht="18" customHeight="1">
      <c r="A52" s="25"/>
      <c r="B52" s="15"/>
      <c r="C52" s="17"/>
      <c r="D52" s="26"/>
      <c r="E52" s="39" t="s">
        <v>42</v>
      </c>
      <c r="F52" s="27" t="s">
        <v>2</v>
      </c>
      <c r="G52" s="123">
        <v>25</v>
      </c>
      <c r="H52" s="40">
        <f>H22</f>
        <v>20000</v>
      </c>
      <c r="I52" s="40">
        <f t="shared" ref="I52:I53" si="6">G52*H52</f>
        <v>500000</v>
      </c>
    </row>
    <row r="53" spans="1:10" ht="18" customHeight="1">
      <c r="A53" s="22"/>
      <c r="B53" s="18"/>
      <c r="C53" s="19"/>
      <c r="D53" s="41"/>
      <c r="E53" s="42" t="s">
        <v>348</v>
      </c>
      <c r="F53" s="23" t="s">
        <v>2</v>
      </c>
      <c r="G53" s="126">
        <v>40</v>
      </c>
      <c r="H53" s="44">
        <f>H23</f>
        <v>75000</v>
      </c>
      <c r="I53" s="44">
        <f t="shared" si="6"/>
        <v>3000000</v>
      </c>
    </row>
    <row r="54" spans="1:10" ht="26.25" customHeight="1">
      <c r="A54" s="32" t="s">
        <v>121</v>
      </c>
      <c r="B54" s="15" t="s">
        <v>218</v>
      </c>
      <c r="C54" s="17" t="s">
        <v>18</v>
      </c>
      <c r="D54" s="28">
        <f>+'BDE moellon '!D35</f>
        <v>3722.04</v>
      </c>
      <c r="E54" s="39"/>
      <c r="F54" s="27"/>
      <c r="H54" s="40"/>
      <c r="I54" s="40"/>
      <c r="J54" s="66"/>
    </row>
    <row r="55" spans="1:10" ht="18" customHeight="1">
      <c r="A55" s="25"/>
      <c r="B55" s="15"/>
      <c r="C55" s="17"/>
      <c r="D55" s="28"/>
      <c r="E55" s="39" t="s">
        <v>35</v>
      </c>
      <c r="F55" s="27" t="s">
        <v>37</v>
      </c>
      <c r="G55" s="6">
        <v>267</v>
      </c>
      <c r="H55" s="40">
        <f>H36</f>
        <v>8500</v>
      </c>
      <c r="I55" s="40">
        <f t="shared" ref="I55:I59" si="7">G55*H55</f>
        <v>2269500</v>
      </c>
      <c r="J55" s="66"/>
    </row>
    <row r="56" spans="1:10" ht="18" customHeight="1">
      <c r="A56" s="25"/>
      <c r="B56" s="15"/>
      <c r="C56" s="17"/>
      <c r="D56" s="28"/>
      <c r="E56" s="39" t="s">
        <v>36</v>
      </c>
      <c r="F56" s="27" t="s">
        <v>37</v>
      </c>
      <c r="G56" s="6">
        <v>218</v>
      </c>
      <c r="H56" s="40">
        <f>H37</f>
        <v>13000</v>
      </c>
      <c r="I56" s="40">
        <f t="shared" si="7"/>
        <v>2834000</v>
      </c>
      <c r="J56" s="66"/>
    </row>
    <row r="57" spans="1:10" ht="18" customHeight="1">
      <c r="A57" s="25"/>
      <c r="B57" s="15"/>
      <c r="C57" s="17"/>
      <c r="D57" s="28"/>
      <c r="E57" s="39" t="s">
        <v>46</v>
      </c>
      <c r="F57" s="27" t="s">
        <v>37</v>
      </c>
      <c r="G57" s="6">
        <v>167</v>
      </c>
      <c r="H57" s="40">
        <v>19000</v>
      </c>
      <c r="I57" s="40">
        <f t="shared" si="7"/>
        <v>3173000</v>
      </c>
      <c r="J57" s="66"/>
    </row>
    <row r="58" spans="1:10" ht="18" customHeight="1">
      <c r="A58" s="25"/>
      <c r="B58" s="15"/>
      <c r="C58" s="17"/>
      <c r="D58" s="28"/>
      <c r="E58" s="39" t="s">
        <v>47</v>
      </c>
      <c r="F58" s="27" t="s">
        <v>37</v>
      </c>
      <c r="G58" s="6">
        <v>107</v>
      </c>
      <c r="H58" s="40">
        <f>H38</f>
        <v>27000</v>
      </c>
      <c r="I58" s="40">
        <f t="shared" si="7"/>
        <v>2889000</v>
      </c>
      <c r="J58" s="66"/>
    </row>
    <row r="59" spans="1:10" ht="18" customHeight="1">
      <c r="A59" s="22"/>
      <c r="B59" s="18"/>
      <c r="C59" s="19"/>
      <c r="D59" s="29"/>
      <c r="E59" s="42" t="s">
        <v>45</v>
      </c>
      <c r="F59" s="23" t="s">
        <v>8</v>
      </c>
      <c r="G59" s="43">
        <v>75</v>
      </c>
      <c r="H59" s="44">
        <f>H39</f>
        <v>5000</v>
      </c>
      <c r="I59" s="44">
        <f t="shared" si="7"/>
        <v>375000</v>
      </c>
      <c r="J59" s="66"/>
    </row>
    <row r="60" spans="1:10" s="132" customFormat="1" ht="18" customHeight="1">
      <c r="A60" s="310" t="s">
        <v>122</v>
      </c>
      <c r="B60" s="289" t="s">
        <v>219</v>
      </c>
      <c r="C60" s="78" t="s">
        <v>1</v>
      </c>
      <c r="D60" s="28">
        <f>+'BDE moellon '!D36</f>
        <v>402.55</v>
      </c>
      <c r="E60" s="39"/>
      <c r="F60" s="27"/>
      <c r="G60" s="200"/>
      <c r="H60" s="79"/>
      <c r="I60" s="79"/>
      <c r="J60" s="200"/>
    </row>
    <row r="61" spans="1:10" ht="27" customHeight="1">
      <c r="A61" s="25"/>
      <c r="B61" s="15"/>
      <c r="C61" s="17"/>
      <c r="D61" s="28"/>
      <c r="E61" s="50" t="s">
        <v>314</v>
      </c>
      <c r="F61" s="27" t="s">
        <v>12</v>
      </c>
      <c r="G61" s="6">
        <v>650</v>
      </c>
      <c r="H61" s="40">
        <v>4000</v>
      </c>
      <c r="I61" s="40">
        <f t="shared" ref="I61:I65" si="8">G61*H61</f>
        <v>2600000</v>
      </c>
      <c r="J61" s="66"/>
    </row>
    <row r="62" spans="1:10" ht="18" customHeight="1">
      <c r="A62" s="25"/>
      <c r="B62" s="15"/>
      <c r="C62" s="17"/>
      <c r="D62" s="28"/>
      <c r="E62" s="50" t="s">
        <v>62</v>
      </c>
      <c r="F62" s="27" t="s">
        <v>12</v>
      </c>
      <c r="G62" s="6">
        <v>100</v>
      </c>
      <c r="H62" s="40">
        <v>4000</v>
      </c>
      <c r="I62" s="40">
        <f t="shared" si="8"/>
        <v>400000</v>
      </c>
      <c r="J62" s="66"/>
    </row>
    <row r="63" spans="1:10" ht="18" customHeight="1">
      <c r="A63" s="25"/>
      <c r="B63" s="15"/>
      <c r="C63" s="17"/>
      <c r="D63" s="28"/>
      <c r="E63" s="50" t="s">
        <v>96</v>
      </c>
      <c r="F63" s="27" t="s">
        <v>12</v>
      </c>
      <c r="G63" s="6">
        <v>750</v>
      </c>
      <c r="H63" s="40">
        <v>3500</v>
      </c>
      <c r="I63" s="40">
        <f t="shared" si="8"/>
        <v>2625000</v>
      </c>
      <c r="J63" s="66"/>
    </row>
    <row r="64" spans="1:10" ht="18" customHeight="1">
      <c r="A64" s="25"/>
      <c r="B64" s="15"/>
      <c r="C64" s="17"/>
      <c r="D64" s="28"/>
      <c r="E64" s="51" t="s">
        <v>315</v>
      </c>
      <c r="F64" s="27" t="s">
        <v>8</v>
      </c>
      <c r="G64" s="6">
        <v>30</v>
      </c>
      <c r="H64" s="40">
        <v>5000</v>
      </c>
      <c r="I64" s="40">
        <f t="shared" si="8"/>
        <v>150000</v>
      </c>
      <c r="J64" s="66"/>
    </row>
    <row r="65" spans="1:10" ht="18" customHeight="1">
      <c r="A65" s="22"/>
      <c r="B65" s="18"/>
      <c r="C65" s="19"/>
      <c r="D65" s="29"/>
      <c r="E65" s="52" t="s">
        <v>50</v>
      </c>
      <c r="F65" s="23" t="s">
        <v>8</v>
      </c>
      <c r="G65" s="43">
        <v>60</v>
      </c>
      <c r="H65" s="44">
        <v>5000</v>
      </c>
      <c r="I65" s="44">
        <f t="shared" si="8"/>
        <v>300000</v>
      </c>
      <c r="J65" s="66"/>
    </row>
    <row r="66" spans="1:10" ht="25.5">
      <c r="A66" s="32" t="s">
        <v>123</v>
      </c>
      <c r="B66" s="285" t="s">
        <v>222</v>
      </c>
      <c r="C66" s="17" t="s">
        <v>1</v>
      </c>
      <c r="D66" s="30">
        <f>+'BDE moellon '!D37</f>
        <v>643.04999999999995</v>
      </c>
      <c r="E66" s="27"/>
      <c r="F66" s="27"/>
      <c r="H66" s="40"/>
      <c r="I66" s="40"/>
      <c r="J66" s="66"/>
    </row>
    <row r="67" spans="1:10" ht="18" customHeight="1">
      <c r="A67" s="33"/>
      <c r="B67" s="15"/>
      <c r="C67" s="17"/>
      <c r="D67" s="30"/>
      <c r="E67" s="55" t="s">
        <v>61</v>
      </c>
      <c r="F67" s="27" t="s">
        <v>12</v>
      </c>
      <c r="G67" s="56">
        <v>89500</v>
      </c>
      <c r="H67" s="40">
        <v>85</v>
      </c>
      <c r="I67" s="40">
        <f>G67*H67</f>
        <v>7607500</v>
      </c>
      <c r="J67" s="66"/>
    </row>
    <row r="68" spans="1:10" ht="18" customHeight="1">
      <c r="A68" s="22"/>
      <c r="B68" s="18"/>
      <c r="C68" s="19"/>
      <c r="D68" s="31"/>
      <c r="E68" s="53" t="s">
        <v>63</v>
      </c>
      <c r="F68" s="23" t="s">
        <v>2</v>
      </c>
      <c r="G68" s="43">
        <v>15</v>
      </c>
      <c r="H68" s="44">
        <v>25000</v>
      </c>
      <c r="I68" s="44">
        <f>G68*H68</f>
        <v>375000</v>
      </c>
      <c r="J68" s="66"/>
    </row>
    <row r="69" spans="1:10" ht="25.5">
      <c r="A69" s="32" t="s">
        <v>124</v>
      </c>
      <c r="B69" s="285" t="s">
        <v>221</v>
      </c>
      <c r="C69" s="17" t="s">
        <v>1</v>
      </c>
      <c r="D69" s="30">
        <f>+'BDE moellon '!D38</f>
        <v>20.28</v>
      </c>
      <c r="E69" s="27"/>
      <c r="F69" s="27"/>
      <c r="H69" s="40"/>
      <c r="I69" s="40"/>
      <c r="J69" s="66"/>
    </row>
    <row r="70" spans="1:10" ht="18" customHeight="1">
      <c r="A70" s="33"/>
      <c r="B70" s="15"/>
      <c r="C70" s="17"/>
      <c r="D70" s="30"/>
      <c r="E70" s="55" t="s">
        <v>61</v>
      </c>
      <c r="F70" s="27" t="s">
        <v>12</v>
      </c>
      <c r="G70" s="56">
        <v>1490</v>
      </c>
      <c r="H70" s="40">
        <f>H67</f>
        <v>85</v>
      </c>
      <c r="I70" s="40">
        <f>G70*H70</f>
        <v>126650</v>
      </c>
      <c r="J70" s="66"/>
    </row>
    <row r="71" spans="1:10" ht="18" customHeight="1">
      <c r="A71" s="33"/>
      <c r="B71" s="15"/>
      <c r="C71" s="17"/>
      <c r="D71" s="30"/>
      <c r="E71" s="39" t="s">
        <v>106</v>
      </c>
      <c r="F71" s="27" t="s">
        <v>23</v>
      </c>
      <c r="G71" s="66">
        <v>4</v>
      </c>
      <c r="H71" s="40">
        <f>H21</f>
        <v>26500</v>
      </c>
      <c r="I71" s="40">
        <f t="shared" ref="I71:I72" si="9">G71*H71</f>
        <v>106000</v>
      </c>
      <c r="J71" s="66"/>
    </row>
    <row r="72" spans="1:10" ht="18" customHeight="1">
      <c r="A72" s="22"/>
      <c r="B72" s="18"/>
      <c r="C72" s="19"/>
      <c r="D72" s="31"/>
      <c r="E72" s="42" t="s">
        <v>42</v>
      </c>
      <c r="F72" s="23" t="s">
        <v>2</v>
      </c>
      <c r="G72" s="126">
        <v>0.7</v>
      </c>
      <c r="H72" s="44">
        <f>H22</f>
        <v>20000</v>
      </c>
      <c r="I72" s="44">
        <f t="shared" si="9"/>
        <v>14000</v>
      </c>
      <c r="J72" s="189"/>
    </row>
    <row r="73" spans="1:10" s="132" customFormat="1" ht="18" customHeight="1">
      <c r="A73" s="310" t="s">
        <v>168</v>
      </c>
      <c r="B73" s="285" t="s">
        <v>225</v>
      </c>
      <c r="C73" s="17" t="s">
        <v>1</v>
      </c>
      <c r="D73" s="30">
        <f>+'BDE moellon '!D39</f>
        <v>2</v>
      </c>
      <c r="E73" s="39"/>
      <c r="F73" s="27"/>
      <c r="G73" s="203"/>
      <c r="H73" s="201"/>
      <c r="I73" s="79"/>
      <c r="J73" s="202"/>
    </row>
    <row r="74" spans="1:10" ht="18" customHeight="1">
      <c r="A74" s="25"/>
      <c r="B74" s="15"/>
      <c r="C74" s="17"/>
      <c r="D74" s="30"/>
      <c r="E74" s="39" t="s">
        <v>277</v>
      </c>
      <c r="F74" s="27" t="s">
        <v>12</v>
      </c>
      <c r="G74" s="229">
        <v>20</v>
      </c>
      <c r="H74" s="296">
        <v>7300</v>
      </c>
      <c r="I74" s="40">
        <f>G74*H74</f>
        <v>146000</v>
      </c>
      <c r="J74" s="189"/>
    </row>
    <row r="75" spans="1:10" ht="18" customHeight="1">
      <c r="A75" s="25"/>
      <c r="B75" s="15"/>
      <c r="C75" s="17"/>
      <c r="D75" s="30"/>
      <c r="E75" s="39" t="s">
        <v>278</v>
      </c>
      <c r="F75" s="27" t="s">
        <v>37</v>
      </c>
      <c r="G75" s="229">
        <v>1</v>
      </c>
      <c r="H75" s="130">
        <f>H36</f>
        <v>8500</v>
      </c>
      <c r="I75" s="40">
        <f t="shared" ref="I75:I77" si="10">G75*H75</f>
        <v>8500</v>
      </c>
      <c r="J75" s="189"/>
    </row>
    <row r="76" spans="1:10" ht="18" customHeight="1">
      <c r="A76" s="25"/>
      <c r="B76" s="15"/>
      <c r="C76" s="17"/>
      <c r="D76" s="30"/>
      <c r="E76" s="39" t="s">
        <v>106</v>
      </c>
      <c r="F76" s="27" t="s">
        <v>23</v>
      </c>
      <c r="G76" s="229">
        <v>1</v>
      </c>
      <c r="H76" s="130">
        <f>H21</f>
        <v>26500</v>
      </c>
      <c r="I76" s="40">
        <f t="shared" si="10"/>
        <v>26500</v>
      </c>
      <c r="J76" s="189"/>
    </row>
    <row r="77" spans="1:10" ht="18" customHeight="1">
      <c r="A77" s="22"/>
      <c r="B77" s="18"/>
      <c r="C77" s="19"/>
      <c r="D77" s="31"/>
      <c r="E77" s="42" t="s">
        <v>42</v>
      </c>
      <c r="F77" s="23" t="s">
        <v>2</v>
      </c>
      <c r="G77" s="125">
        <v>0.1</v>
      </c>
      <c r="H77" s="129">
        <f>H22</f>
        <v>20000</v>
      </c>
      <c r="I77" s="44">
        <f t="shared" si="10"/>
        <v>2000</v>
      </c>
      <c r="J77" s="189"/>
    </row>
    <row r="78" spans="1:10" ht="18" customHeight="1">
      <c r="A78" s="310" t="s">
        <v>169</v>
      </c>
      <c r="B78" s="285" t="s">
        <v>223</v>
      </c>
      <c r="C78" s="16" t="s">
        <v>1</v>
      </c>
      <c r="D78" s="30"/>
      <c r="E78" s="39"/>
      <c r="F78" s="27"/>
      <c r="G78" s="205"/>
      <c r="H78" s="130"/>
      <c r="I78" s="40"/>
      <c r="J78" s="189"/>
    </row>
    <row r="79" spans="1:10" ht="18" customHeight="1">
      <c r="A79" s="25"/>
      <c r="B79" s="15"/>
      <c r="C79" s="17"/>
      <c r="D79" s="30"/>
      <c r="E79" s="39" t="s">
        <v>279</v>
      </c>
      <c r="F79" s="27" t="s">
        <v>12</v>
      </c>
      <c r="G79" s="204"/>
      <c r="H79" s="130"/>
      <c r="I79" s="40">
        <f>G79*H79</f>
        <v>0</v>
      </c>
      <c r="J79" s="189"/>
    </row>
    <row r="80" spans="1:10" ht="18" customHeight="1">
      <c r="A80" s="25"/>
      <c r="B80" s="15"/>
      <c r="C80" s="17"/>
      <c r="D80" s="30"/>
      <c r="E80" s="39" t="s">
        <v>106</v>
      </c>
      <c r="F80" s="27" t="s">
        <v>23</v>
      </c>
      <c r="G80" s="204"/>
      <c r="H80" s="130">
        <f>H21</f>
        <v>26500</v>
      </c>
      <c r="I80" s="40">
        <f t="shared" ref="I80:I81" si="11">G80*H80</f>
        <v>0</v>
      </c>
      <c r="J80" s="189"/>
    </row>
    <row r="81" spans="1:10" ht="18" customHeight="1">
      <c r="A81" s="22"/>
      <c r="B81" s="18"/>
      <c r="C81" s="19"/>
      <c r="D81" s="31"/>
      <c r="E81" s="42" t="s">
        <v>42</v>
      </c>
      <c r="F81" s="23" t="s">
        <v>2</v>
      </c>
      <c r="G81" s="125"/>
      <c r="H81" s="129">
        <f>H22</f>
        <v>20000</v>
      </c>
      <c r="I81" s="40">
        <f t="shared" si="11"/>
        <v>0</v>
      </c>
      <c r="J81" s="189"/>
    </row>
    <row r="82" spans="1:10" ht="33" customHeight="1">
      <c r="A82" s="34"/>
      <c r="B82" s="5"/>
      <c r="C82" s="4"/>
      <c r="D82" s="48"/>
      <c r="E82" s="49"/>
      <c r="F82" s="769" t="s">
        <v>275</v>
      </c>
      <c r="G82" s="770"/>
      <c r="H82" s="771"/>
      <c r="I82" s="60">
        <f>SUM(I50:I81)</f>
        <v>38564150</v>
      </c>
    </row>
    <row r="83" spans="1:10" ht="18" customHeight="1">
      <c r="A83" s="772" t="s">
        <v>170</v>
      </c>
      <c r="B83" s="772"/>
      <c r="C83" s="2"/>
    </row>
    <row r="84" spans="1:10" ht="18" customHeight="1"/>
    <row r="85" spans="1:10" s="3" customFormat="1" ht="18" customHeight="1">
      <c r="A85" s="20" t="s">
        <v>30</v>
      </c>
      <c r="B85" s="20" t="s">
        <v>31</v>
      </c>
      <c r="C85" s="20" t="s">
        <v>12</v>
      </c>
      <c r="D85" s="20" t="s">
        <v>32</v>
      </c>
      <c r="E85" s="20" t="s">
        <v>34</v>
      </c>
      <c r="F85" s="20" t="s">
        <v>12</v>
      </c>
      <c r="G85" s="36" t="s">
        <v>32</v>
      </c>
      <c r="H85" s="37" t="s">
        <v>40</v>
      </c>
      <c r="I85" s="37" t="s">
        <v>33</v>
      </c>
      <c r="J85" s="187"/>
    </row>
    <row r="86" spans="1:10" s="3" customFormat="1" ht="27" customHeight="1">
      <c r="A86" s="32" t="s">
        <v>9</v>
      </c>
      <c r="B86" s="289" t="s">
        <v>316</v>
      </c>
      <c r="C86" s="78" t="s">
        <v>1</v>
      </c>
      <c r="D86" s="120">
        <f>+'BDE moellon '!D45</f>
        <v>1490.62</v>
      </c>
      <c r="E86" s="80"/>
      <c r="F86" s="80"/>
      <c r="G86" s="127"/>
      <c r="H86" s="81"/>
      <c r="I86" s="81"/>
      <c r="J86" s="187"/>
    </row>
    <row r="87" spans="1:10" s="3" customFormat="1" ht="18" customHeight="1">
      <c r="A87" s="25"/>
      <c r="B87" s="141"/>
      <c r="C87" s="17"/>
      <c r="D87" s="311"/>
      <c r="E87" s="39" t="s">
        <v>106</v>
      </c>
      <c r="F87" s="27" t="s">
        <v>23</v>
      </c>
      <c r="G87" s="142">
        <v>188</v>
      </c>
      <c r="H87" s="143">
        <f>H21</f>
        <v>26500</v>
      </c>
      <c r="I87" s="143">
        <f>+G87*H87</f>
        <v>4982000</v>
      </c>
      <c r="J87" s="187"/>
    </row>
    <row r="88" spans="1:10" s="3" customFormat="1" ht="18" customHeight="1">
      <c r="A88" s="22"/>
      <c r="B88" s="82"/>
      <c r="C88" s="19"/>
      <c r="D88" s="312"/>
      <c r="E88" s="42" t="s">
        <v>42</v>
      </c>
      <c r="F88" s="27" t="s">
        <v>2</v>
      </c>
      <c r="G88" s="144">
        <v>32</v>
      </c>
      <c r="H88" s="134">
        <f>H22</f>
        <v>20000</v>
      </c>
      <c r="I88" s="143">
        <f>+G88*H88</f>
        <v>640000</v>
      </c>
      <c r="J88" s="187"/>
    </row>
    <row r="89" spans="1:10" s="3" customFormat="1" ht="27" customHeight="1">
      <c r="A89" s="32" t="s">
        <v>66</v>
      </c>
      <c r="B89" s="289" t="s">
        <v>224</v>
      </c>
      <c r="C89" s="78" t="s">
        <v>1</v>
      </c>
      <c r="D89" s="120">
        <f>+'BDE moellon '!D46</f>
        <v>44.95</v>
      </c>
      <c r="E89" s="80"/>
      <c r="F89" s="80"/>
      <c r="G89" s="127"/>
      <c r="H89" s="81"/>
      <c r="I89" s="81"/>
      <c r="J89" s="187"/>
    </row>
    <row r="90" spans="1:10" s="3" customFormat="1" ht="18" customHeight="1">
      <c r="A90" s="25"/>
      <c r="B90" s="141"/>
      <c r="C90" s="17"/>
      <c r="D90" s="311"/>
      <c r="E90" s="39" t="s">
        <v>106</v>
      </c>
      <c r="F90" s="27" t="s">
        <v>23</v>
      </c>
      <c r="G90" s="142">
        <v>8</v>
      </c>
      <c r="H90" s="143">
        <f>H21</f>
        <v>26500</v>
      </c>
      <c r="I90" s="143">
        <f>+G90*H90</f>
        <v>212000</v>
      </c>
      <c r="J90" s="187"/>
    </row>
    <row r="91" spans="1:10" s="3" customFormat="1" ht="18" customHeight="1">
      <c r="A91" s="22"/>
      <c r="B91" s="82"/>
      <c r="C91" s="19"/>
      <c r="D91" s="312"/>
      <c r="E91" s="42" t="s">
        <v>42</v>
      </c>
      <c r="F91" s="27" t="s">
        <v>2</v>
      </c>
      <c r="G91" s="144">
        <v>1</v>
      </c>
      <c r="H91" s="134">
        <f>H22</f>
        <v>20000</v>
      </c>
      <c r="I91" s="143">
        <f>+G91*H91</f>
        <v>20000</v>
      </c>
      <c r="J91" s="187"/>
    </row>
    <row r="92" spans="1:10" s="3" customFormat="1" ht="29.25" customHeight="1">
      <c r="A92" s="34"/>
      <c r="B92" s="269"/>
      <c r="C92" s="4"/>
      <c r="D92" s="262"/>
      <c r="E92" s="267"/>
      <c r="F92" s="769" t="s">
        <v>103</v>
      </c>
      <c r="G92" s="770"/>
      <c r="H92" s="771"/>
      <c r="I92" s="270">
        <f>SUM(I86:I91)</f>
        <v>5854000</v>
      </c>
      <c r="J92" s="187"/>
    </row>
    <row r="93" spans="1:10" ht="18" customHeight="1">
      <c r="A93" s="772" t="s">
        <v>226</v>
      </c>
      <c r="B93" s="772"/>
      <c r="C93" s="2"/>
    </row>
    <row r="94" spans="1:10" ht="18" customHeight="1"/>
    <row r="95" spans="1:10" s="3" customFormat="1" ht="18" customHeight="1">
      <c r="A95" s="20" t="s">
        <v>30</v>
      </c>
      <c r="B95" s="20" t="s">
        <v>31</v>
      </c>
      <c r="C95" s="20" t="s">
        <v>12</v>
      </c>
      <c r="D95" s="20" t="s">
        <v>32</v>
      </c>
      <c r="E95" s="20" t="s">
        <v>34</v>
      </c>
      <c r="F95" s="20" t="s">
        <v>12</v>
      </c>
      <c r="G95" s="36" t="s">
        <v>32</v>
      </c>
      <c r="H95" s="37" t="s">
        <v>40</v>
      </c>
      <c r="I95" s="37" t="s">
        <v>33</v>
      </c>
      <c r="J95" s="187"/>
    </row>
    <row r="96" spans="1:10" s="3" customFormat="1" ht="27" customHeight="1">
      <c r="A96" s="32" t="s">
        <v>73</v>
      </c>
      <c r="B96" s="289" t="s">
        <v>228</v>
      </c>
      <c r="C96" s="78" t="s">
        <v>1</v>
      </c>
      <c r="D96" s="120">
        <f>+'BDE moellon '!D52</f>
        <v>50.46</v>
      </c>
      <c r="E96" s="80"/>
      <c r="F96" s="80"/>
      <c r="G96" s="127"/>
      <c r="H96" s="81"/>
      <c r="I96" s="81"/>
      <c r="J96" s="187"/>
    </row>
    <row r="97" spans="1:10" s="3" customFormat="1" ht="18.75" customHeight="1">
      <c r="A97" s="25"/>
      <c r="B97" s="90"/>
      <c r="C97" s="89"/>
      <c r="D97" s="30"/>
      <c r="E97" s="39" t="s">
        <v>284</v>
      </c>
      <c r="F97" s="27" t="s">
        <v>1</v>
      </c>
      <c r="G97" s="142">
        <v>50.46</v>
      </c>
      <c r="H97" s="295">
        <v>20800</v>
      </c>
      <c r="I97" s="143">
        <f>G97*H97</f>
        <v>1049568</v>
      </c>
      <c r="J97" s="187"/>
    </row>
    <row r="98" spans="1:10" s="3" customFormat="1" ht="18.75" customHeight="1">
      <c r="A98" s="25"/>
      <c r="B98" s="141"/>
      <c r="C98" s="17"/>
      <c r="D98" s="311"/>
      <c r="E98" s="39" t="s">
        <v>106</v>
      </c>
      <c r="F98" s="27" t="s">
        <v>23</v>
      </c>
      <c r="G98" s="142">
        <v>7</v>
      </c>
      <c r="H98" s="143">
        <f>H21</f>
        <v>26500</v>
      </c>
      <c r="I98" s="143">
        <f>+G98*H98</f>
        <v>185500</v>
      </c>
      <c r="J98" s="187"/>
    </row>
    <row r="99" spans="1:10" s="3" customFormat="1" ht="18.75" customHeight="1">
      <c r="A99" s="22"/>
      <c r="B99" s="82"/>
      <c r="C99" s="19"/>
      <c r="D99" s="312"/>
      <c r="E99" s="42" t="s">
        <v>42</v>
      </c>
      <c r="F99" s="23" t="s">
        <v>2</v>
      </c>
      <c r="G99" s="144">
        <v>2</v>
      </c>
      <c r="H99" s="134">
        <f>H22</f>
        <v>20000</v>
      </c>
      <c r="I99" s="134">
        <f>+G99*H99</f>
        <v>40000</v>
      </c>
      <c r="J99" s="187"/>
    </row>
    <row r="100" spans="1:10" s="3" customFormat="1" ht="26.25" customHeight="1">
      <c r="A100" s="32" t="s">
        <v>74</v>
      </c>
      <c r="B100" s="289" t="s">
        <v>229</v>
      </c>
      <c r="C100" s="78" t="s">
        <v>1</v>
      </c>
      <c r="D100" s="30">
        <f>+'BDE moellon '!D53</f>
        <v>330.16</v>
      </c>
      <c r="E100" s="39"/>
      <c r="F100" s="27"/>
      <c r="G100" s="142"/>
      <c r="H100" s="143"/>
      <c r="I100" s="143"/>
      <c r="J100" s="187"/>
    </row>
    <row r="101" spans="1:10" s="3" customFormat="1" ht="18.75" customHeight="1">
      <c r="A101" s="25"/>
      <c r="B101" s="90"/>
      <c r="C101" s="89"/>
      <c r="D101" s="311"/>
      <c r="E101" s="39" t="s">
        <v>204</v>
      </c>
      <c r="F101" s="27" t="s">
        <v>1</v>
      </c>
      <c r="G101" s="142">
        <v>330.16</v>
      </c>
      <c r="H101" s="295">
        <v>22000</v>
      </c>
      <c r="I101" s="143">
        <f>G101*H101</f>
        <v>7263520.0000000009</v>
      </c>
      <c r="J101" s="187"/>
    </row>
    <row r="102" spans="1:10" s="3" customFormat="1" ht="18.75" customHeight="1">
      <c r="A102" s="25"/>
      <c r="B102" s="210"/>
      <c r="C102" s="17"/>
      <c r="D102" s="311"/>
      <c r="E102" s="39" t="s">
        <v>106</v>
      </c>
      <c r="F102" s="27" t="s">
        <v>23</v>
      </c>
      <c r="G102" s="142">
        <v>75</v>
      </c>
      <c r="H102" s="143">
        <f>H21</f>
        <v>26500</v>
      </c>
      <c r="I102" s="143">
        <f t="shared" ref="I102:I103" si="12">G102*H102</f>
        <v>1987500</v>
      </c>
      <c r="J102" s="187"/>
    </row>
    <row r="103" spans="1:10" s="3" customFormat="1" ht="18.75" customHeight="1">
      <c r="A103" s="25"/>
      <c r="B103" s="210"/>
      <c r="C103" s="17"/>
      <c r="D103" s="311"/>
      <c r="E103" s="42" t="s">
        <v>42</v>
      </c>
      <c r="F103" s="23" t="s">
        <v>2</v>
      </c>
      <c r="G103" s="144">
        <v>12</v>
      </c>
      <c r="H103" s="143">
        <f>H22</f>
        <v>20000</v>
      </c>
      <c r="I103" s="143">
        <f t="shared" si="12"/>
        <v>240000</v>
      </c>
      <c r="J103" s="187"/>
    </row>
    <row r="104" spans="1:10" s="3" customFormat="1" ht="27" customHeight="1">
      <c r="A104" s="32" t="s">
        <v>75</v>
      </c>
      <c r="B104" s="285" t="s">
        <v>227</v>
      </c>
      <c r="C104" s="78" t="s">
        <v>10</v>
      </c>
      <c r="D104" s="120">
        <f>+'BDE moellon '!D55</f>
        <v>0</v>
      </c>
      <c r="E104" s="80"/>
      <c r="F104" s="80"/>
      <c r="G104" s="127"/>
      <c r="H104" s="81"/>
      <c r="I104" s="81"/>
      <c r="J104" s="187"/>
    </row>
    <row r="105" spans="1:10" s="3" customFormat="1" ht="18.75" customHeight="1">
      <c r="A105" s="25"/>
      <c r="B105" s="15"/>
      <c r="C105" s="89"/>
      <c r="D105" s="30"/>
      <c r="E105" s="39" t="s">
        <v>204</v>
      </c>
      <c r="F105" s="27" t="s">
        <v>1</v>
      </c>
      <c r="G105" s="142">
        <v>14.85</v>
      </c>
      <c r="H105" s="295">
        <f>H101</f>
        <v>22000</v>
      </c>
      <c r="I105" s="143">
        <f>G105*H105</f>
        <v>326700</v>
      </c>
      <c r="J105" s="187"/>
    </row>
    <row r="106" spans="1:10" s="3" customFormat="1" ht="18" customHeight="1">
      <c r="A106" s="25"/>
      <c r="B106" s="141"/>
      <c r="C106" s="17"/>
      <c r="D106" s="311"/>
      <c r="E106" s="39" t="s">
        <v>106</v>
      </c>
      <c r="F106" s="27" t="s">
        <v>23</v>
      </c>
      <c r="G106" s="142">
        <v>2</v>
      </c>
      <c r="H106" s="143">
        <f>H21</f>
        <v>26500</v>
      </c>
      <c r="I106" s="143">
        <f t="shared" ref="I106:I107" si="13">G106*H106</f>
        <v>53000</v>
      </c>
      <c r="J106" s="187"/>
    </row>
    <row r="107" spans="1:10" s="3" customFormat="1" ht="18" customHeight="1">
      <c r="A107" s="22"/>
      <c r="B107" s="82"/>
      <c r="C107" s="19"/>
      <c r="D107" s="312"/>
      <c r="E107" s="42" t="s">
        <v>42</v>
      </c>
      <c r="F107" s="27" t="s">
        <v>2</v>
      </c>
      <c r="G107" s="230">
        <v>0.4</v>
      </c>
      <c r="H107" s="134">
        <f>H22</f>
        <v>20000</v>
      </c>
      <c r="I107" s="143">
        <f t="shared" si="13"/>
        <v>8000</v>
      </c>
      <c r="J107" s="187"/>
    </row>
    <row r="108" spans="1:10" s="3" customFormat="1" ht="29.25" customHeight="1">
      <c r="A108" s="34"/>
      <c r="B108" s="269"/>
      <c r="C108" s="4"/>
      <c r="D108" s="262"/>
      <c r="E108" s="267"/>
      <c r="F108" s="769" t="s">
        <v>283</v>
      </c>
      <c r="G108" s="770"/>
      <c r="H108" s="771"/>
      <c r="I108" s="270">
        <f>SUM(I96:I107)</f>
        <v>11153788</v>
      </c>
      <c r="J108" s="187"/>
    </row>
    <row r="109" spans="1:10" ht="18" customHeight="1">
      <c r="A109" s="772" t="s">
        <v>285</v>
      </c>
      <c r="B109" s="772"/>
      <c r="C109" s="4"/>
      <c r="D109" s="259"/>
      <c r="E109" s="63"/>
      <c r="F109" s="65"/>
      <c r="G109" s="66"/>
      <c r="H109" s="83"/>
      <c r="I109" s="83"/>
    </row>
    <row r="110" spans="1:10" ht="18" customHeight="1">
      <c r="A110" s="34"/>
      <c r="B110" s="5"/>
      <c r="C110" s="4"/>
      <c r="D110" s="259"/>
      <c r="E110" s="63"/>
      <c r="F110" s="65"/>
      <c r="G110" s="66"/>
      <c r="H110" s="83"/>
      <c r="I110" s="83"/>
    </row>
    <row r="111" spans="1:10" s="3" customFormat="1" ht="18" customHeight="1">
      <c r="A111" s="20" t="s">
        <v>30</v>
      </c>
      <c r="B111" s="20" t="s">
        <v>31</v>
      </c>
      <c r="C111" s="20" t="s">
        <v>12</v>
      </c>
      <c r="D111" s="20" t="s">
        <v>32</v>
      </c>
      <c r="E111" s="20" t="s">
        <v>34</v>
      </c>
      <c r="F111" s="20" t="s">
        <v>12</v>
      </c>
      <c r="G111" s="36" t="s">
        <v>32</v>
      </c>
      <c r="H111" s="37" t="s">
        <v>40</v>
      </c>
      <c r="I111" s="37" t="s">
        <v>33</v>
      </c>
      <c r="J111" s="187"/>
    </row>
    <row r="112" spans="1:10" ht="25.5">
      <c r="A112" s="32" t="s">
        <v>11</v>
      </c>
      <c r="B112" s="289" t="s">
        <v>320</v>
      </c>
      <c r="C112" s="78" t="s">
        <v>2</v>
      </c>
      <c r="D112" s="26">
        <f>'BDE moellon '!D61</f>
        <v>4.6340000000000003</v>
      </c>
      <c r="E112" s="27" t="s">
        <v>41</v>
      </c>
      <c r="F112" s="27"/>
      <c r="H112" s="40"/>
      <c r="I112" s="40"/>
    </row>
    <row r="113" spans="1:9" ht="18" customHeight="1">
      <c r="A113" s="33"/>
      <c r="B113" s="140" t="s">
        <v>136</v>
      </c>
      <c r="C113" s="89"/>
      <c r="D113" s="26"/>
      <c r="E113" s="27"/>
      <c r="F113" s="27"/>
      <c r="H113" s="40"/>
      <c r="I113" s="40"/>
    </row>
    <row r="114" spans="1:9" ht="18" customHeight="1">
      <c r="A114" s="33"/>
      <c r="B114" s="111" t="s">
        <v>125</v>
      </c>
      <c r="C114" s="89"/>
      <c r="D114" s="26"/>
      <c r="E114" s="39" t="s">
        <v>349</v>
      </c>
      <c r="F114" s="27" t="s">
        <v>12</v>
      </c>
      <c r="G114" s="6">
        <v>71</v>
      </c>
      <c r="H114" s="40">
        <v>37500</v>
      </c>
      <c r="I114" s="40">
        <f>+G114*H114</f>
        <v>2662500</v>
      </c>
    </row>
    <row r="115" spans="1:9" ht="18" customHeight="1">
      <c r="A115" s="33"/>
      <c r="B115" s="111" t="s">
        <v>126</v>
      </c>
      <c r="C115" s="89"/>
      <c r="D115" s="26"/>
      <c r="E115" s="39" t="s">
        <v>318</v>
      </c>
      <c r="F115" s="27" t="s">
        <v>12</v>
      </c>
      <c r="G115" s="6">
        <v>19</v>
      </c>
      <c r="H115" s="40">
        <v>32500</v>
      </c>
      <c r="I115" s="40">
        <f t="shared" ref="I115:I121" si="14">+G115*H115</f>
        <v>617500</v>
      </c>
    </row>
    <row r="116" spans="1:9" ht="18" customHeight="1">
      <c r="A116" s="33"/>
      <c r="B116" s="111"/>
      <c r="C116" s="89"/>
      <c r="D116" s="26"/>
      <c r="E116" s="39" t="s">
        <v>79</v>
      </c>
      <c r="F116" s="27" t="s">
        <v>8</v>
      </c>
      <c r="G116" s="6">
        <v>5</v>
      </c>
      <c r="H116" s="40">
        <v>5000</v>
      </c>
      <c r="I116" s="40">
        <f>G116*H116</f>
        <v>25000</v>
      </c>
    </row>
    <row r="117" spans="1:9" ht="18" customHeight="1">
      <c r="A117" s="33"/>
      <c r="B117" s="111"/>
      <c r="C117" s="89"/>
      <c r="D117" s="26"/>
      <c r="E117" s="39" t="s">
        <v>50</v>
      </c>
      <c r="F117" s="27" t="s">
        <v>8</v>
      </c>
      <c r="G117" s="6">
        <v>15</v>
      </c>
      <c r="H117" s="40">
        <f>H65</f>
        <v>5000</v>
      </c>
      <c r="I117" s="40">
        <f>G117*H117</f>
        <v>75000</v>
      </c>
    </row>
    <row r="118" spans="1:9" ht="18" customHeight="1">
      <c r="A118" s="33"/>
      <c r="B118" s="140" t="s">
        <v>135</v>
      </c>
      <c r="C118" s="89"/>
      <c r="D118" s="26"/>
      <c r="E118" s="39"/>
      <c r="F118" s="27"/>
      <c r="H118" s="40"/>
      <c r="I118" s="40"/>
    </row>
    <row r="119" spans="1:9" ht="18" customHeight="1">
      <c r="A119" s="33"/>
      <c r="B119" s="111" t="s">
        <v>317</v>
      </c>
      <c r="C119" s="89"/>
      <c r="D119" s="26"/>
      <c r="E119" s="39" t="s">
        <v>319</v>
      </c>
      <c r="F119" s="27" t="s">
        <v>12</v>
      </c>
      <c r="G119" s="6">
        <v>68</v>
      </c>
      <c r="H119" s="40">
        <v>40000</v>
      </c>
      <c r="I119" s="40">
        <f>G119*H119</f>
        <v>2720000</v>
      </c>
    </row>
    <row r="120" spans="1:9" ht="18" customHeight="1">
      <c r="A120" s="33"/>
      <c r="B120" s="111" t="s">
        <v>126</v>
      </c>
      <c r="C120" s="89"/>
      <c r="D120" s="26"/>
      <c r="E120" s="39" t="s">
        <v>107</v>
      </c>
      <c r="F120" s="27" t="s">
        <v>12</v>
      </c>
      <c r="G120" s="6">
        <v>18</v>
      </c>
      <c r="H120" s="40">
        <v>10000</v>
      </c>
      <c r="I120" s="40">
        <f t="shared" si="14"/>
        <v>180000</v>
      </c>
    </row>
    <row r="121" spans="1:9" ht="18" customHeight="1">
      <c r="A121" s="176"/>
      <c r="B121" s="90"/>
      <c r="C121" s="89"/>
      <c r="D121" s="26"/>
      <c r="E121" s="39" t="s">
        <v>50</v>
      </c>
      <c r="F121" s="27" t="s">
        <v>8</v>
      </c>
      <c r="G121" s="6">
        <v>6</v>
      </c>
      <c r="H121" s="40">
        <f>H65</f>
        <v>5000</v>
      </c>
      <c r="I121" s="40">
        <f t="shared" si="14"/>
        <v>30000</v>
      </c>
    </row>
    <row r="122" spans="1:9" ht="25.5">
      <c r="A122" s="33" t="s">
        <v>13</v>
      </c>
      <c r="B122" s="289" t="s">
        <v>365</v>
      </c>
      <c r="C122" s="78" t="s">
        <v>1</v>
      </c>
      <c r="D122" s="121">
        <f>+'BDE moellon '!D62</f>
        <v>160.36000000000001</v>
      </c>
      <c r="E122" s="71"/>
      <c r="F122" s="21"/>
      <c r="G122" s="73"/>
      <c r="H122" s="38"/>
      <c r="I122" s="38"/>
    </row>
    <row r="123" spans="1:9" ht="18.75" customHeight="1">
      <c r="A123" s="33"/>
      <c r="B123" s="90"/>
      <c r="C123" s="89"/>
      <c r="D123" s="26"/>
      <c r="E123" s="55" t="s">
        <v>366</v>
      </c>
      <c r="F123" s="27" t="s">
        <v>12</v>
      </c>
      <c r="G123" s="318">
        <v>500</v>
      </c>
      <c r="H123" s="40">
        <v>500</v>
      </c>
      <c r="I123" s="40">
        <f>G123*H123</f>
        <v>250000</v>
      </c>
    </row>
    <row r="124" spans="1:9" ht="18.75" customHeight="1">
      <c r="A124" s="33"/>
      <c r="B124" s="90"/>
      <c r="C124" s="89"/>
      <c r="D124" s="26"/>
      <c r="E124" s="55" t="s">
        <v>371</v>
      </c>
      <c r="F124" s="27" t="s">
        <v>12</v>
      </c>
      <c r="G124" s="318">
        <v>100</v>
      </c>
      <c r="H124" s="40">
        <v>400</v>
      </c>
      <c r="I124" s="40">
        <f>G124*H124</f>
        <v>40000</v>
      </c>
    </row>
    <row r="125" spans="1:9" ht="18.75" customHeight="1">
      <c r="A125" s="33"/>
      <c r="B125" s="90"/>
      <c r="C125" s="89"/>
      <c r="D125" s="26"/>
      <c r="E125" s="39" t="s">
        <v>53</v>
      </c>
      <c r="F125" s="27" t="s">
        <v>8</v>
      </c>
      <c r="G125" s="87">
        <v>15</v>
      </c>
      <c r="H125" s="40">
        <v>6000</v>
      </c>
      <c r="I125" s="40">
        <f t="shared" ref="I125" si="15">G125*H125</f>
        <v>90000</v>
      </c>
    </row>
    <row r="126" spans="1:9" ht="17.25" customHeight="1">
      <c r="A126" s="176"/>
      <c r="B126" s="90"/>
      <c r="C126" s="89"/>
      <c r="D126" s="26"/>
      <c r="E126" s="39" t="s">
        <v>367</v>
      </c>
      <c r="F126" s="27" t="s">
        <v>8</v>
      </c>
      <c r="G126" s="318">
        <v>60</v>
      </c>
      <c r="H126" s="40">
        <v>15000</v>
      </c>
      <c r="I126" s="40">
        <f t="shared" ref="I126" si="16">G126*H126</f>
        <v>900000</v>
      </c>
    </row>
    <row r="127" spans="1:9" ht="25.5">
      <c r="A127" s="33" t="s">
        <v>81</v>
      </c>
      <c r="B127" s="289" t="s">
        <v>231</v>
      </c>
      <c r="C127" s="78" t="s">
        <v>10</v>
      </c>
      <c r="D127" s="121">
        <f>+'BDE moellon '!D63</f>
        <v>18.28</v>
      </c>
      <c r="E127" s="71"/>
      <c r="F127" s="21"/>
      <c r="G127" s="73"/>
      <c r="H127" s="38"/>
      <c r="I127" s="38"/>
    </row>
    <row r="128" spans="1:9" ht="18" customHeight="1">
      <c r="A128" s="307"/>
      <c r="B128" s="85"/>
      <c r="C128" s="17"/>
      <c r="D128" s="28"/>
      <c r="E128" s="39" t="s">
        <v>80</v>
      </c>
      <c r="F128" s="27" t="s">
        <v>12</v>
      </c>
      <c r="G128" s="66">
        <v>11</v>
      </c>
      <c r="H128" s="40">
        <v>10000</v>
      </c>
      <c r="I128" s="40">
        <f>G128*H128</f>
        <v>110000</v>
      </c>
    </row>
    <row r="129" spans="1:11" ht="18" customHeight="1">
      <c r="A129" s="22"/>
      <c r="B129" s="15"/>
      <c r="C129" s="17"/>
      <c r="D129" s="28"/>
      <c r="E129" s="39" t="s">
        <v>53</v>
      </c>
      <c r="F129" s="27" t="s">
        <v>8</v>
      </c>
      <c r="G129" s="97">
        <v>1</v>
      </c>
      <c r="H129" s="40">
        <f>H126</f>
        <v>15000</v>
      </c>
      <c r="I129" s="40">
        <f>G129*H129</f>
        <v>15000</v>
      </c>
    </row>
    <row r="130" spans="1:11" ht="26.25" customHeight="1">
      <c r="A130" s="33" t="s">
        <v>69</v>
      </c>
      <c r="B130" s="289" t="s">
        <v>233</v>
      </c>
      <c r="C130" s="78" t="s">
        <v>1</v>
      </c>
      <c r="D130" s="121">
        <f>+'BDE moellon '!D64</f>
        <v>136.69</v>
      </c>
      <c r="E130" s="71"/>
      <c r="F130" s="21"/>
      <c r="G130" s="64"/>
      <c r="H130" s="38"/>
      <c r="I130" s="38"/>
    </row>
    <row r="131" spans="1:11" ht="18" customHeight="1">
      <c r="A131" s="25"/>
      <c r="B131" s="88"/>
      <c r="C131" s="89"/>
      <c r="D131" s="28"/>
      <c r="E131" s="39" t="s">
        <v>112</v>
      </c>
      <c r="F131" s="27" t="s">
        <v>98</v>
      </c>
      <c r="G131" s="66">
        <v>40</v>
      </c>
      <c r="H131" s="40">
        <v>50000</v>
      </c>
      <c r="I131" s="40">
        <f>G131*H131</f>
        <v>2000000</v>
      </c>
    </row>
    <row r="132" spans="1:11" ht="18" customHeight="1">
      <c r="A132" s="22"/>
      <c r="B132" s="90"/>
      <c r="C132" s="89"/>
      <c r="D132" s="28"/>
      <c r="E132" s="39" t="s">
        <v>78</v>
      </c>
      <c r="F132" s="27" t="s">
        <v>8</v>
      </c>
      <c r="G132" s="87">
        <v>6</v>
      </c>
      <c r="H132" s="40">
        <f>H64</f>
        <v>5000</v>
      </c>
      <c r="I132" s="40">
        <f t="shared" ref="I132" si="17">G132*H132</f>
        <v>30000</v>
      </c>
    </row>
    <row r="133" spans="1:11" ht="18" customHeight="1">
      <c r="A133" s="310" t="s">
        <v>70</v>
      </c>
      <c r="B133" s="290" t="s">
        <v>232</v>
      </c>
      <c r="C133" s="78" t="s">
        <v>10</v>
      </c>
      <c r="D133" s="121">
        <f>+'BDE moellon '!D65</f>
        <v>175.84</v>
      </c>
      <c r="E133" s="71"/>
      <c r="F133" s="21"/>
      <c r="G133" s="73"/>
      <c r="H133" s="38"/>
      <c r="I133" s="38"/>
      <c r="K133" s="228"/>
    </row>
    <row r="134" spans="1:11" ht="18" customHeight="1">
      <c r="A134" s="25"/>
      <c r="B134" s="5"/>
      <c r="C134" s="89"/>
      <c r="D134" s="28"/>
      <c r="E134" s="39" t="s">
        <v>113</v>
      </c>
      <c r="F134" s="27" t="s">
        <v>97</v>
      </c>
      <c r="G134" s="87">
        <v>10</v>
      </c>
      <c r="H134" s="40">
        <v>15000</v>
      </c>
      <c r="I134" s="40">
        <f>G134*H134</f>
        <v>150000</v>
      </c>
    </row>
    <row r="135" spans="1:11" ht="18" customHeight="1">
      <c r="A135" s="22"/>
      <c r="B135" s="92"/>
      <c r="C135" s="93"/>
      <c r="D135" s="29"/>
      <c r="E135" s="42" t="s">
        <v>77</v>
      </c>
      <c r="F135" s="23" t="s">
        <v>8</v>
      </c>
      <c r="G135" s="76">
        <v>1</v>
      </c>
      <c r="H135" s="44">
        <f>H64</f>
        <v>5000</v>
      </c>
      <c r="I135" s="40">
        <f>G135*H135</f>
        <v>5000</v>
      </c>
      <c r="K135" s="228"/>
    </row>
    <row r="136" spans="1:11" ht="18" customHeight="1">
      <c r="A136" s="310" t="s">
        <v>171</v>
      </c>
      <c r="B136" s="313" t="s">
        <v>76</v>
      </c>
      <c r="C136" s="94" t="s">
        <v>10</v>
      </c>
      <c r="D136" s="121">
        <f>+'BDE moellon '!D66</f>
        <v>36</v>
      </c>
      <c r="E136" s="71"/>
      <c r="F136" s="21"/>
      <c r="G136" s="73"/>
      <c r="H136" s="38"/>
      <c r="I136" s="38"/>
    </row>
    <row r="137" spans="1:11" ht="18" customHeight="1">
      <c r="A137" s="25"/>
      <c r="B137" s="95"/>
      <c r="C137" s="96"/>
      <c r="D137" s="28"/>
      <c r="E137" s="39" t="s">
        <v>280</v>
      </c>
      <c r="F137" s="27" t="s">
        <v>12</v>
      </c>
      <c r="G137" s="87">
        <v>6</v>
      </c>
      <c r="H137" s="40">
        <v>15000</v>
      </c>
      <c r="I137" s="40">
        <f>G137*H137</f>
        <v>90000</v>
      </c>
    </row>
    <row r="138" spans="1:11" ht="18" customHeight="1">
      <c r="A138" s="25"/>
      <c r="B138" s="95"/>
      <c r="C138" s="96"/>
      <c r="D138" s="28"/>
      <c r="E138" s="39" t="s">
        <v>139</v>
      </c>
      <c r="F138" s="27" t="s">
        <v>12</v>
      </c>
      <c r="G138" s="87">
        <v>6</v>
      </c>
      <c r="H138" s="40">
        <v>35000</v>
      </c>
      <c r="I138" s="40">
        <f>G138*H138</f>
        <v>210000</v>
      </c>
    </row>
    <row r="139" spans="1:11" ht="18" customHeight="1">
      <c r="A139" s="25"/>
      <c r="B139" s="95"/>
      <c r="C139" s="96"/>
      <c r="D139" s="28"/>
      <c r="E139" s="39" t="s">
        <v>108</v>
      </c>
      <c r="F139" s="27" t="s">
        <v>12</v>
      </c>
      <c r="G139" s="87">
        <v>18</v>
      </c>
      <c r="H139" s="40">
        <v>4500</v>
      </c>
      <c r="I139" s="40">
        <f>G139*H139</f>
        <v>81000</v>
      </c>
    </row>
    <row r="140" spans="1:11" ht="18" customHeight="1">
      <c r="A140" s="25"/>
      <c r="B140" s="95"/>
      <c r="C140" s="96"/>
      <c r="D140" s="28"/>
      <c r="E140" s="39" t="s">
        <v>109</v>
      </c>
      <c r="F140" s="27" t="s">
        <v>110</v>
      </c>
      <c r="G140" s="87">
        <v>3</v>
      </c>
      <c r="H140" s="40">
        <v>8000</v>
      </c>
      <c r="I140" s="40">
        <f t="shared" ref="I140:I141" si="18">G140*H140</f>
        <v>24000</v>
      </c>
    </row>
    <row r="141" spans="1:11" ht="18" customHeight="1">
      <c r="A141" s="22"/>
      <c r="B141" s="18"/>
      <c r="C141" s="19"/>
      <c r="D141" s="29"/>
      <c r="E141" s="42" t="s">
        <v>100</v>
      </c>
      <c r="F141" s="23" t="s">
        <v>12</v>
      </c>
      <c r="G141" s="76">
        <v>40</v>
      </c>
      <c r="H141" s="44">
        <v>1000</v>
      </c>
      <c r="I141" s="40">
        <f t="shared" si="18"/>
        <v>40000</v>
      </c>
    </row>
    <row r="142" spans="1:11" ht="29.25" customHeight="1">
      <c r="A142" s="34"/>
      <c r="B142" s="5"/>
      <c r="C142" s="4"/>
      <c r="D142" s="48"/>
      <c r="E142" s="267"/>
      <c r="F142" s="769" t="s">
        <v>281</v>
      </c>
      <c r="G142" s="770"/>
      <c r="H142" s="771"/>
      <c r="I142" s="271">
        <f>SUM(I112:I141)</f>
        <v>10345000</v>
      </c>
    </row>
    <row r="143" spans="1:11" ht="18" customHeight="1">
      <c r="A143" s="772" t="s">
        <v>242</v>
      </c>
      <c r="B143" s="772"/>
      <c r="C143" s="4"/>
      <c r="D143" s="259"/>
      <c r="E143" s="772"/>
      <c r="F143" s="772"/>
      <c r="G143" s="66"/>
      <c r="H143" s="83"/>
      <c r="I143" s="83"/>
    </row>
    <row r="144" spans="1:11" ht="18" customHeight="1">
      <c r="A144" s="297"/>
      <c r="B144" s="297"/>
      <c r="C144" s="4"/>
      <c r="D144" s="259"/>
      <c r="E144" s="63"/>
      <c r="F144" s="65"/>
      <c r="G144" s="66"/>
      <c r="H144" s="83"/>
      <c r="I144" s="83"/>
    </row>
    <row r="145" spans="1:10" s="3" customFormat="1" ht="18" customHeight="1">
      <c r="A145" s="20" t="s">
        <v>30</v>
      </c>
      <c r="B145" s="20" t="s">
        <v>31</v>
      </c>
      <c r="C145" s="20" t="s">
        <v>12</v>
      </c>
      <c r="D145" s="20" t="s">
        <v>32</v>
      </c>
      <c r="E145" s="20" t="s">
        <v>34</v>
      </c>
      <c r="F145" s="20" t="s">
        <v>12</v>
      </c>
      <c r="G145" s="36" t="s">
        <v>32</v>
      </c>
      <c r="H145" s="37" t="s">
        <v>40</v>
      </c>
      <c r="I145" s="37" t="s">
        <v>33</v>
      </c>
      <c r="J145" s="187"/>
    </row>
    <row r="146" spans="1:10" s="113" customFormat="1" ht="27" customHeight="1">
      <c r="A146" s="72" t="s">
        <v>14</v>
      </c>
      <c r="B146" s="289" t="s">
        <v>350</v>
      </c>
      <c r="C146" s="78" t="s">
        <v>12</v>
      </c>
      <c r="D146" s="100">
        <v>1</v>
      </c>
      <c r="E146" s="98"/>
      <c r="F146" s="100"/>
      <c r="G146" s="99"/>
      <c r="H146" s="69">
        <v>240000</v>
      </c>
      <c r="I146" s="147">
        <f>D146*H146</f>
        <v>240000</v>
      </c>
      <c r="J146" s="114"/>
    </row>
    <row r="147" spans="1:10" s="113" customFormat="1" ht="27" customHeight="1">
      <c r="A147" s="72" t="s">
        <v>15</v>
      </c>
      <c r="B147" s="289" t="s">
        <v>351</v>
      </c>
      <c r="C147" s="78" t="s">
        <v>12</v>
      </c>
      <c r="D147" s="100">
        <v>2</v>
      </c>
      <c r="E147" s="98"/>
      <c r="F147" s="100"/>
      <c r="G147" s="99"/>
      <c r="H147" s="69">
        <v>155000</v>
      </c>
      <c r="I147" s="147">
        <f t="shared" ref="I147:I155" si="19">D147*H147</f>
        <v>310000</v>
      </c>
      <c r="J147" s="114"/>
    </row>
    <row r="148" spans="1:10" s="113" customFormat="1" ht="27" customHeight="1">
      <c r="A148" s="72" t="s">
        <v>20</v>
      </c>
      <c r="B148" s="289" t="s">
        <v>352</v>
      </c>
      <c r="C148" s="78" t="s">
        <v>12</v>
      </c>
      <c r="D148" s="100">
        <v>17</v>
      </c>
      <c r="E148" s="98"/>
      <c r="F148" s="100"/>
      <c r="G148" s="99"/>
      <c r="H148" s="69">
        <v>145000</v>
      </c>
      <c r="I148" s="147">
        <f t="shared" si="19"/>
        <v>2465000</v>
      </c>
      <c r="J148" s="114"/>
    </row>
    <row r="149" spans="1:10" s="113" customFormat="1" ht="27" customHeight="1">
      <c r="A149" s="72" t="s">
        <v>71</v>
      </c>
      <c r="B149" s="289" t="s">
        <v>353</v>
      </c>
      <c r="C149" s="78" t="s">
        <v>12</v>
      </c>
      <c r="D149" s="100">
        <v>2</v>
      </c>
      <c r="E149" s="98"/>
      <c r="F149" s="100"/>
      <c r="G149" s="99"/>
      <c r="H149" s="69">
        <v>125000</v>
      </c>
      <c r="I149" s="147">
        <f t="shared" si="19"/>
        <v>250000</v>
      </c>
      <c r="J149" s="114"/>
    </row>
    <row r="150" spans="1:10" s="113" customFormat="1" ht="27" customHeight="1">
      <c r="A150" s="72" t="s">
        <v>72</v>
      </c>
      <c r="B150" s="289" t="s">
        <v>354</v>
      </c>
      <c r="C150" s="78" t="s">
        <v>12</v>
      </c>
      <c r="D150" s="100">
        <v>6</v>
      </c>
      <c r="E150" s="98"/>
      <c r="F150" s="100"/>
      <c r="G150" s="99"/>
      <c r="H150" s="69">
        <v>115000</v>
      </c>
      <c r="I150" s="147">
        <f t="shared" si="19"/>
        <v>690000</v>
      </c>
      <c r="J150" s="114"/>
    </row>
    <row r="151" spans="1:10" s="113" customFormat="1" ht="27" customHeight="1">
      <c r="A151" s="72" t="s">
        <v>91</v>
      </c>
      <c r="B151" s="289" t="s">
        <v>355</v>
      </c>
      <c r="C151" s="78" t="s">
        <v>12</v>
      </c>
      <c r="D151" s="100">
        <v>23</v>
      </c>
      <c r="E151" s="98"/>
      <c r="F151" s="100"/>
      <c r="G151" s="99"/>
      <c r="H151" s="69">
        <v>100000</v>
      </c>
      <c r="I151" s="147">
        <f t="shared" si="19"/>
        <v>2300000</v>
      </c>
      <c r="J151" s="114"/>
    </row>
    <row r="152" spans="1:10" s="113" customFormat="1" ht="27" customHeight="1">
      <c r="A152" s="72" t="s">
        <v>243</v>
      </c>
      <c r="B152" s="289" t="s">
        <v>356</v>
      </c>
      <c r="C152" s="78" t="s">
        <v>12</v>
      </c>
      <c r="D152" s="100">
        <v>3</v>
      </c>
      <c r="E152" s="98"/>
      <c r="F152" s="100"/>
      <c r="G152" s="99"/>
      <c r="H152" s="69">
        <v>90000</v>
      </c>
      <c r="I152" s="147">
        <f t="shared" ref="I152" si="20">D152*H152</f>
        <v>270000</v>
      </c>
      <c r="J152" s="114"/>
    </row>
    <row r="153" spans="1:10" s="113" customFormat="1" ht="27" customHeight="1">
      <c r="A153" s="72" t="s">
        <v>244</v>
      </c>
      <c r="B153" s="289" t="s">
        <v>357</v>
      </c>
      <c r="C153" s="78" t="s">
        <v>12</v>
      </c>
      <c r="D153" s="100">
        <v>2</v>
      </c>
      <c r="E153" s="98"/>
      <c r="F153" s="100"/>
      <c r="G153" s="99"/>
      <c r="H153" s="69">
        <v>50000</v>
      </c>
      <c r="I153" s="147">
        <f t="shared" si="19"/>
        <v>100000</v>
      </c>
      <c r="J153" s="114"/>
    </row>
    <row r="154" spans="1:10" s="113" customFormat="1" ht="27" customHeight="1">
      <c r="A154" s="72" t="s">
        <v>305</v>
      </c>
      <c r="B154" s="289" t="s">
        <v>358</v>
      </c>
      <c r="C154" s="78" t="s">
        <v>12</v>
      </c>
      <c r="D154" s="100">
        <v>2</v>
      </c>
      <c r="E154" s="98"/>
      <c r="F154" s="100"/>
      <c r="G154" s="99"/>
      <c r="H154" s="69">
        <v>30000</v>
      </c>
      <c r="I154" s="147">
        <f t="shared" si="19"/>
        <v>60000</v>
      </c>
      <c r="J154" s="114"/>
    </row>
    <row r="155" spans="1:10" s="113" customFormat="1" ht="27" customHeight="1">
      <c r="A155" s="70" t="s">
        <v>309</v>
      </c>
      <c r="B155" s="284" t="s">
        <v>359</v>
      </c>
      <c r="C155" s="84" t="s">
        <v>12</v>
      </c>
      <c r="D155" s="100">
        <v>2</v>
      </c>
      <c r="E155" s="98"/>
      <c r="F155" s="100"/>
      <c r="G155" s="99"/>
      <c r="H155" s="69">
        <v>15000</v>
      </c>
      <c r="I155" s="147">
        <f t="shared" si="19"/>
        <v>30000</v>
      </c>
      <c r="J155" s="114"/>
    </row>
    <row r="156" spans="1:10" s="113" customFormat="1" ht="30" customHeight="1">
      <c r="A156" s="272"/>
      <c r="B156" s="88"/>
      <c r="C156" s="273"/>
      <c r="D156" s="276"/>
      <c r="E156" s="274"/>
      <c r="F156" s="769" t="s">
        <v>104</v>
      </c>
      <c r="G156" s="770"/>
      <c r="H156" s="771"/>
      <c r="I156" s="275">
        <f>SUM(I146:I155)</f>
        <v>6715000</v>
      </c>
      <c r="J156" s="114"/>
    </row>
    <row r="157" spans="1:10" ht="18" customHeight="1">
      <c r="A157" s="772" t="s">
        <v>245</v>
      </c>
      <c r="B157" s="772"/>
      <c r="C157" s="4"/>
      <c r="D157" s="259"/>
      <c r="E157" s="772"/>
      <c r="F157" s="772"/>
      <c r="G157" s="66"/>
      <c r="H157" s="83"/>
      <c r="I157" s="83"/>
    </row>
    <row r="158" spans="1:10" ht="18" customHeight="1">
      <c r="A158" s="297"/>
      <c r="B158" s="297"/>
      <c r="C158" s="4"/>
      <c r="D158" s="259"/>
      <c r="E158" s="63"/>
      <c r="F158" s="65"/>
      <c r="G158" s="66"/>
      <c r="H158" s="83"/>
      <c r="I158" s="83"/>
    </row>
    <row r="159" spans="1:10" s="3" customFormat="1" ht="18" customHeight="1">
      <c r="A159" s="20" t="s">
        <v>30</v>
      </c>
      <c r="B159" s="20" t="s">
        <v>31</v>
      </c>
      <c r="C159" s="20" t="s">
        <v>12</v>
      </c>
      <c r="D159" s="20" t="s">
        <v>32</v>
      </c>
      <c r="E159" s="20" t="s">
        <v>34</v>
      </c>
      <c r="F159" s="20" t="s">
        <v>12</v>
      </c>
      <c r="G159" s="36" t="s">
        <v>32</v>
      </c>
      <c r="H159" s="37" t="s">
        <v>40</v>
      </c>
      <c r="I159" s="37" t="s">
        <v>33</v>
      </c>
      <c r="J159" s="187"/>
    </row>
    <row r="160" spans="1:10" s="113" customFormat="1" ht="27" customHeight="1">
      <c r="A160" s="72" t="s">
        <v>21</v>
      </c>
      <c r="B160" s="289" t="s">
        <v>236</v>
      </c>
      <c r="C160" s="78" t="s">
        <v>1</v>
      </c>
      <c r="D160" s="100">
        <f>+'BDE moellon '!D88</f>
        <v>22.88</v>
      </c>
      <c r="E160" s="98"/>
      <c r="F160" s="100"/>
      <c r="G160" s="99"/>
      <c r="H160" s="69">
        <v>85000</v>
      </c>
      <c r="I160" s="147">
        <f>D160*H160</f>
        <v>1944800</v>
      </c>
      <c r="J160" s="114"/>
    </row>
    <row r="161" spans="1:10" s="113" customFormat="1" ht="27" customHeight="1">
      <c r="A161" s="72" t="s">
        <v>22</v>
      </c>
      <c r="B161" s="289" t="s">
        <v>237</v>
      </c>
      <c r="C161" s="78" t="s">
        <v>1</v>
      </c>
      <c r="D161" s="100">
        <f>+'BDE moellon '!D89</f>
        <v>42.2</v>
      </c>
      <c r="E161" s="98"/>
      <c r="F161" s="100"/>
      <c r="G161" s="99"/>
      <c r="H161" s="69">
        <v>85000</v>
      </c>
      <c r="I161" s="147">
        <f t="shared" ref="I161:I164" si="21">D161*H161</f>
        <v>3587000.0000000005</v>
      </c>
      <c r="J161" s="114"/>
    </row>
    <row r="162" spans="1:10" s="113" customFormat="1" ht="27" customHeight="1">
      <c r="A162" s="72" t="s">
        <v>363</v>
      </c>
      <c r="B162" s="289" t="s">
        <v>307</v>
      </c>
      <c r="C162" s="78" t="s">
        <v>1</v>
      </c>
      <c r="D162" s="100">
        <f>+'BDE moellon '!D90</f>
        <v>3.08</v>
      </c>
      <c r="E162" s="98"/>
      <c r="F162" s="100"/>
      <c r="G162" s="99"/>
      <c r="H162" s="69">
        <v>85000</v>
      </c>
      <c r="I162" s="147">
        <f t="shared" si="21"/>
        <v>261800</v>
      </c>
      <c r="J162" s="114"/>
    </row>
    <row r="163" spans="1:10" s="113" customFormat="1" ht="27" customHeight="1">
      <c r="A163" s="72" t="s">
        <v>205</v>
      </c>
      <c r="B163" s="289" t="s">
        <v>238</v>
      </c>
      <c r="C163" s="78" t="s">
        <v>1</v>
      </c>
      <c r="D163" s="100">
        <f>+'BDE moellon '!D91</f>
        <v>2.42</v>
      </c>
      <c r="E163" s="98"/>
      <c r="F163" s="100"/>
      <c r="G163" s="99"/>
      <c r="H163" s="69">
        <v>85000</v>
      </c>
      <c r="I163" s="147">
        <f t="shared" si="21"/>
        <v>205700</v>
      </c>
      <c r="J163" s="114"/>
    </row>
    <row r="164" spans="1:10" s="113" customFormat="1" ht="27" customHeight="1">
      <c r="A164" s="72" t="s">
        <v>206</v>
      </c>
      <c r="B164" s="289" t="s">
        <v>239</v>
      </c>
      <c r="C164" s="78" t="s">
        <v>1</v>
      </c>
      <c r="D164" s="100">
        <f>+'BDE moellon '!D92</f>
        <v>1.43</v>
      </c>
      <c r="E164" s="98"/>
      <c r="F164" s="100"/>
      <c r="G164" s="99"/>
      <c r="H164" s="69">
        <v>85000</v>
      </c>
      <c r="I164" s="147">
        <f t="shared" si="21"/>
        <v>121550</v>
      </c>
      <c r="J164" s="114"/>
    </row>
    <row r="165" spans="1:10" s="113" customFormat="1" ht="27" customHeight="1">
      <c r="A165" s="72" t="s">
        <v>306</v>
      </c>
      <c r="B165" s="284" t="s">
        <v>240</v>
      </c>
      <c r="C165" s="84" t="s">
        <v>1</v>
      </c>
      <c r="D165" s="100">
        <f>+'BDE moellon '!D95</f>
        <v>3.69</v>
      </c>
      <c r="E165" s="98"/>
      <c r="F165" s="100"/>
      <c r="G165" s="99"/>
      <c r="H165" s="69">
        <v>85000</v>
      </c>
      <c r="I165" s="147">
        <f t="shared" ref="I165" si="22">D165*H165</f>
        <v>313650</v>
      </c>
      <c r="J165" s="114"/>
    </row>
    <row r="166" spans="1:10" s="113" customFormat="1" ht="30" customHeight="1">
      <c r="A166" s="272"/>
      <c r="B166" s="88"/>
      <c r="C166" s="273"/>
      <c r="D166" s="276"/>
      <c r="E166" s="274"/>
      <c r="F166" s="769" t="s">
        <v>282</v>
      </c>
      <c r="G166" s="770"/>
      <c r="H166" s="771"/>
      <c r="I166" s="275">
        <f>SUM(I160:I165)</f>
        <v>6434500</v>
      </c>
      <c r="J166" s="114"/>
    </row>
    <row r="167" spans="1:10" ht="18" customHeight="1">
      <c r="A167" s="772" t="s">
        <v>248</v>
      </c>
      <c r="B167" s="772"/>
      <c r="C167" s="4"/>
      <c r="D167" s="259"/>
      <c r="E167" s="83"/>
      <c r="F167" s="83"/>
      <c r="G167" s="208"/>
      <c r="H167" s="83"/>
      <c r="I167" s="209"/>
      <c r="J167" s="1"/>
    </row>
    <row r="168" spans="1:10" ht="18" customHeight="1">
      <c r="A168" s="34"/>
      <c r="B168" s="5"/>
      <c r="C168" s="4"/>
      <c r="D168" s="48"/>
      <c r="E168" s="49"/>
      <c r="F168" s="206"/>
      <c r="G168" s="206"/>
      <c r="H168" s="206"/>
      <c r="I168" s="207"/>
    </row>
    <row r="169" spans="1:10" s="3" customFormat="1" ht="18" customHeight="1">
      <c r="A169" s="20" t="s">
        <v>30</v>
      </c>
      <c r="B169" s="20" t="s">
        <v>31</v>
      </c>
      <c r="C169" s="20" t="s">
        <v>12</v>
      </c>
      <c r="D169" s="20" t="s">
        <v>32</v>
      </c>
      <c r="E169" s="20" t="s">
        <v>34</v>
      </c>
      <c r="F169" s="20" t="s">
        <v>12</v>
      </c>
      <c r="G169" s="36" t="s">
        <v>32</v>
      </c>
      <c r="H169" s="37" t="s">
        <v>40</v>
      </c>
      <c r="I169" s="37" t="s">
        <v>33</v>
      </c>
      <c r="J169" s="187"/>
    </row>
    <row r="170" spans="1:10" ht="18" customHeight="1">
      <c r="A170" s="77" t="s">
        <v>173</v>
      </c>
      <c r="B170" s="293" t="s">
        <v>191</v>
      </c>
      <c r="C170" s="78" t="s">
        <v>1</v>
      </c>
      <c r="D170" s="120">
        <f>+'BDE moellon '!D101</f>
        <v>1345.18</v>
      </c>
      <c r="E170" s="104"/>
      <c r="F170" s="21"/>
      <c r="G170" s="73"/>
      <c r="H170" s="38"/>
      <c r="I170" s="38"/>
    </row>
    <row r="171" spans="1:10" ht="18" customHeight="1">
      <c r="A171" s="108"/>
      <c r="B171" s="90"/>
      <c r="C171" s="89"/>
      <c r="D171" s="30"/>
      <c r="E171" s="55" t="s">
        <v>87</v>
      </c>
      <c r="F171" s="27" t="s">
        <v>23</v>
      </c>
      <c r="G171" s="87">
        <v>9</v>
      </c>
      <c r="H171" s="40">
        <v>14000</v>
      </c>
      <c r="I171" s="40">
        <f>G171*H171</f>
        <v>126000</v>
      </c>
    </row>
    <row r="172" spans="1:10" ht="18" customHeight="1">
      <c r="A172" s="108"/>
      <c r="B172" s="90"/>
      <c r="C172" s="89"/>
      <c r="D172" s="30"/>
      <c r="E172" s="55" t="s">
        <v>84</v>
      </c>
      <c r="F172" s="27" t="s">
        <v>12</v>
      </c>
      <c r="G172" s="87">
        <v>6</v>
      </c>
      <c r="H172" s="40">
        <v>5000</v>
      </c>
      <c r="I172" s="40">
        <f t="shared" ref="I172:I173" si="23">G172*H172</f>
        <v>30000</v>
      </c>
    </row>
    <row r="173" spans="1:10" ht="18" customHeight="1">
      <c r="A173" s="108"/>
      <c r="B173" s="90"/>
      <c r="C173" s="89"/>
      <c r="D173" s="30"/>
      <c r="E173" s="55" t="s">
        <v>368</v>
      </c>
      <c r="F173" s="27" t="s">
        <v>8</v>
      </c>
      <c r="G173" s="87">
        <v>6</v>
      </c>
      <c r="H173" s="40">
        <v>700</v>
      </c>
      <c r="I173" s="40">
        <f t="shared" si="23"/>
        <v>4200</v>
      </c>
    </row>
    <row r="174" spans="1:10" ht="18" customHeight="1">
      <c r="A174" s="108"/>
      <c r="B174" s="90"/>
      <c r="C174" s="89"/>
      <c r="D174" s="30"/>
      <c r="E174" s="55" t="s">
        <v>369</v>
      </c>
      <c r="F174" s="27" t="s">
        <v>12</v>
      </c>
      <c r="G174" s="87">
        <v>50</v>
      </c>
      <c r="H174" s="40">
        <v>250</v>
      </c>
      <c r="I174" s="40">
        <f t="shared" ref="I174" si="24">G174*H174</f>
        <v>12500</v>
      </c>
    </row>
    <row r="175" spans="1:10" ht="27" customHeight="1">
      <c r="A175" s="72" t="s">
        <v>174</v>
      </c>
      <c r="B175" s="294" t="s">
        <v>246</v>
      </c>
      <c r="C175" s="78" t="s">
        <v>1</v>
      </c>
      <c r="D175" s="120">
        <f>+'BDE moellon '!D102</f>
        <v>361.43</v>
      </c>
      <c r="E175" s="104"/>
      <c r="F175" s="21"/>
      <c r="G175" s="73"/>
      <c r="H175" s="38"/>
      <c r="I175" s="38"/>
    </row>
    <row r="176" spans="1:10" ht="26.25" customHeight="1">
      <c r="A176" s="106"/>
      <c r="B176" s="90"/>
      <c r="C176" s="89"/>
      <c r="D176" s="30"/>
      <c r="E176" s="55" t="s">
        <v>330</v>
      </c>
      <c r="F176" s="27" t="s">
        <v>8</v>
      </c>
      <c r="G176" s="87">
        <v>130</v>
      </c>
      <c r="H176" s="40">
        <v>4000</v>
      </c>
      <c r="I176" s="40">
        <f>G176*H176</f>
        <v>520000</v>
      </c>
    </row>
    <row r="177" spans="1:9" ht="18" customHeight="1">
      <c r="A177" s="106"/>
      <c r="B177" s="90"/>
      <c r="C177" s="89"/>
      <c r="D177" s="30"/>
      <c r="E177" s="55" t="s">
        <v>84</v>
      </c>
      <c r="F177" s="27" t="s">
        <v>12</v>
      </c>
      <c r="G177" s="87">
        <v>10</v>
      </c>
      <c r="H177" s="40">
        <v>5000</v>
      </c>
      <c r="I177" s="40">
        <f t="shared" ref="I177:I179" si="25">G177*H177</f>
        <v>50000</v>
      </c>
    </row>
    <row r="178" spans="1:9" ht="18" customHeight="1">
      <c r="A178" s="106"/>
      <c r="B178" s="90"/>
      <c r="C178" s="89"/>
      <c r="D178" s="30"/>
      <c r="E178" s="55" t="s">
        <v>86</v>
      </c>
      <c r="F178" s="27" t="s">
        <v>12</v>
      </c>
      <c r="G178" s="87">
        <v>6</v>
      </c>
      <c r="H178" s="40">
        <v>3500</v>
      </c>
      <c r="I178" s="40">
        <f t="shared" si="25"/>
        <v>21000</v>
      </c>
    </row>
    <row r="179" spans="1:9" ht="18" customHeight="1">
      <c r="A179" s="74"/>
      <c r="B179" s="90"/>
      <c r="C179" s="93"/>
      <c r="D179" s="31"/>
      <c r="E179" s="53" t="s">
        <v>85</v>
      </c>
      <c r="F179" s="23" t="s">
        <v>12</v>
      </c>
      <c r="G179" s="76">
        <v>6</v>
      </c>
      <c r="H179" s="44">
        <v>3000</v>
      </c>
      <c r="I179" s="40">
        <f t="shared" si="25"/>
        <v>18000</v>
      </c>
    </row>
    <row r="180" spans="1:9" ht="27" customHeight="1">
      <c r="A180" s="72" t="s">
        <v>175</v>
      </c>
      <c r="B180" s="294" t="s">
        <v>247</v>
      </c>
      <c r="C180" s="78" t="s">
        <v>1</v>
      </c>
      <c r="D180" s="120">
        <f>+'BDE moellon '!D103</f>
        <v>983.75</v>
      </c>
      <c r="E180" s="104"/>
      <c r="F180" s="21"/>
      <c r="G180" s="73"/>
      <c r="H180" s="38"/>
      <c r="I180" s="38"/>
    </row>
    <row r="181" spans="1:9" ht="26.25" customHeight="1">
      <c r="A181" s="106"/>
      <c r="B181" s="90"/>
      <c r="C181" s="107"/>
      <c r="D181" s="30"/>
      <c r="E181" s="55" t="s">
        <v>331</v>
      </c>
      <c r="F181" s="27" t="s">
        <v>8</v>
      </c>
      <c r="G181" s="87">
        <v>350</v>
      </c>
      <c r="H181" s="40">
        <v>3000</v>
      </c>
      <c r="I181" s="40">
        <f>G181*H181</f>
        <v>1050000</v>
      </c>
    </row>
    <row r="182" spans="1:9" ht="18" customHeight="1">
      <c r="A182" s="106"/>
      <c r="B182" s="90"/>
      <c r="C182" s="107"/>
      <c r="D182" s="30"/>
      <c r="E182" s="55" t="s">
        <v>84</v>
      </c>
      <c r="F182" s="27" t="s">
        <v>12</v>
      </c>
      <c r="G182" s="87">
        <v>15</v>
      </c>
      <c r="H182" s="40">
        <f>H177</f>
        <v>5000</v>
      </c>
      <c r="I182" s="40">
        <f t="shared" ref="I182:I184" si="26">G182*H182</f>
        <v>75000</v>
      </c>
    </row>
    <row r="183" spans="1:9" ht="18" customHeight="1">
      <c r="A183" s="106"/>
      <c r="B183" s="90"/>
      <c r="C183" s="107"/>
      <c r="D183" s="30"/>
      <c r="E183" s="55" t="s">
        <v>86</v>
      </c>
      <c r="F183" s="27" t="s">
        <v>12</v>
      </c>
      <c r="G183" s="87">
        <v>8</v>
      </c>
      <c r="H183" s="40">
        <f>H178</f>
        <v>3500</v>
      </c>
      <c r="I183" s="40">
        <f t="shared" si="26"/>
        <v>28000</v>
      </c>
    </row>
    <row r="184" spans="1:9" ht="18" customHeight="1">
      <c r="A184" s="74"/>
      <c r="B184" s="90"/>
      <c r="C184" s="107"/>
      <c r="D184" s="31"/>
      <c r="E184" s="53" t="s">
        <v>85</v>
      </c>
      <c r="F184" s="23" t="s">
        <v>12</v>
      </c>
      <c r="G184" s="76">
        <v>8</v>
      </c>
      <c r="H184" s="44">
        <f>H179</f>
        <v>3000</v>
      </c>
      <c r="I184" s="40">
        <f t="shared" si="26"/>
        <v>24000</v>
      </c>
    </row>
    <row r="185" spans="1:9" ht="27" customHeight="1">
      <c r="A185" s="72" t="s">
        <v>176</v>
      </c>
      <c r="B185" s="289" t="s">
        <v>311</v>
      </c>
      <c r="C185" s="103" t="s">
        <v>1</v>
      </c>
      <c r="D185" s="120">
        <f>+'BDE moellon '!D104</f>
        <v>446.89</v>
      </c>
      <c r="E185" s="104"/>
      <c r="F185" s="21"/>
      <c r="G185" s="109"/>
      <c r="H185" s="118"/>
      <c r="I185" s="118"/>
    </row>
    <row r="186" spans="1:9" ht="18" customHeight="1">
      <c r="A186" s="108"/>
      <c r="B186" s="90"/>
      <c r="C186" s="107"/>
      <c r="D186" s="30"/>
      <c r="E186" s="55" t="s">
        <v>55</v>
      </c>
      <c r="F186" s="27" t="s">
        <v>8</v>
      </c>
      <c r="G186" s="87">
        <v>65</v>
      </c>
      <c r="H186" s="40">
        <f>H181</f>
        <v>3000</v>
      </c>
      <c r="I186" s="40">
        <f t="shared" ref="I186:I192" si="27">G186*H186</f>
        <v>195000</v>
      </c>
    </row>
    <row r="187" spans="1:9" ht="18" customHeight="1">
      <c r="A187" s="108"/>
      <c r="B187" s="90"/>
      <c r="C187" s="107"/>
      <c r="D187" s="30"/>
      <c r="E187" s="55" t="s">
        <v>24</v>
      </c>
      <c r="F187" s="27" t="s">
        <v>8</v>
      </c>
      <c r="G187" s="110">
        <v>87</v>
      </c>
      <c r="H187" s="79">
        <v>15000</v>
      </c>
      <c r="I187" s="79">
        <f t="shared" si="27"/>
        <v>1305000</v>
      </c>
    </row>
    <row r="188" spans="1:9" ht="18" customHeight="1">
      <c r="A188" s="108"/>
      <c r="B188" s="90"/>
      <c r="C188" s="107"/>
      <c r="D188" s="30"/>
      <c r="E188" s="55" t="s">
        <v>321</v>
      </c>
      <c r="F188" s="27" t="s">
        <v>8</v>
      </c>
      <c r="G188" s="110">
        <v>2</v>
      </c>
      <c r="H188" s="79">
        <v>15000</v>
      </c>
      <c r="I188" s="79">
        <f t="shared" si="27"/>
        <v>30000</v>
      </c>
    </row>
    <row r="189" spans="1:9" ht="18" customHeight="1">
      <c r="A189" s="108"/>
      <c r="B189" s="90"/>
      <c r="C189" s="107"/>
      <c r="D189" s="30"/>
      <c r="E189" s="55" t="s">
        <v>89</v>
      </c>
      <c r="F189" s="27" t="s">
        <v>90</v>
      </c>
      <c r="G189" s="110">
        <v>15</v>
      </c>
      <c r="H189" s="79">
        <v>6000</v>
      </c>
      <c r="I189" s="79">
        <f t="shared" si="27"/>
        <v>90000</v>
      </c>
    </row>
    <row r="190" spans="1:9" ht="18" customHeight="1">
      <c r="A190" s="108"/>
      <c r="B190" s="90"/>
      <c r="C190" s="107"/>
      <c r="D190" s="30"/>
      <c r="E190" s="55" t="s">
        <v>84</v>
      </c>
      <c r="F190" s="27" t="s">
        <v>12</v>
      </c>
      <c r="G190" s="87">
        <v>5</v>
      </c>
      <c r="H190" s="40">
        <f>H177</f>
        <v>5000</v>
      </c>
      <c r="I190" s="40">
        <f t="shared" si="27"/>
        <v>25000</v>
      </c>
    </row>
    <row r="191" spans="1:9" ht="18" customHeight="1">
      <c r="A191" s="108"/>
      <c r="B191" s="90"/>
      <c r="C191" s="107"/>
      <c r="D191" s="30"/>
      <c r="E191" s="55" t="s">
        <v>86</v>
      </c>
      <c r="F191" s="27" t="s">
        <v>12</v>
      </c>
      <c r="G191" s="110">
        <v>5</v>
      </c>
      <c r="H191" s="79">
        <f>H178</f>
        <v>3500</v>
      </c>
      <c r="I191" s="79">
        <f t="shared" si="27"/>
        <v>17500</v>
      </c>
    </row>
    <row r="192" spans="1:9" ht="18" customHeight="1">
      <c r="A192" s="108"/>
      <c r="B192" s="90"/>
      <c r="C192" s="107"/>
      <c r="D192" s="30"/>
      <c r="E192" s="53" t="s">
        <v>85</v>
      </c>
      <c r="F192" s="23" t="s">
        <v>12</v>
      </c>
      <c r="G192" s="110">
        <v>8</v>
      </c>
      <c r="H192" s="79">
        <f>H179</f>
        <v>3000</v>
      </c>
      <c r="I192" s="79">
        <f t="shared" si="27"/>
        <v>24000</v>
      </c>
    </row>
    <row r="193" spans="1:10" ht="40.5" customHeight="1">
      <c r="A193" s="72" t="s">
        <v>249</v>
      </c>
      <c r="B193" s="289" t="s">
        <v>117</v>
      </c>
      <c r="C193" s="78" t="s">
        <v>1</v>
      </c>
      <c r="D193" s="120" t="e">
        <f>+'BDE moellon '!#REF!</f>
        <v>#REF!</v>
      </c>
      <c r="E193" s="104"/>
      <c r="F193" s="21"/>
      <c r="G193" s="73"/>
      <c r="H193" s="38"/>
      <c r="I193" s="38"/>
    </row>
    <row r="194" spans="1:10" ht="18" customHeight="1">
      <c r="A194" s="106"/>
      <c r="B194" s="90"/>
      <c r="C194" s="89"/>
      <c r="D194" s="30"/>
      <c r="E194" s="55" t="s">
        <v>118</v>
      </c>
      <c r="F194" s="27" t="s">
        <v>1</v>
      </c>
      <c r="G194" s="87">
        <v>37.33</v>
      </c>
      <c r="H194" s="40">
        <v>25000</v>
      </c>
      <c r="I194" s="40">
        <f>G194*H194</f>
        <v>933250</v>
      </c>
    </row>
    <row r="195" spans="1:10" ht="18" customHeight="1">
      <c r="A195" s="106"/>
      <c r="B195" s="90"/>
      <c r="C195" s="89"/>
      <c r="D195" s="30"/>
      <c r="E195" s="55" t="s">
        <v>339</v>
      </c>
      <c r="F195" s="27" t="s">
        <v>98</v>
      </c>
      <c r="G195" s="87">
        <v>15</v>
      </c>
      <c r="H195" s="40">
        <v>2800</v>
      </c>
      <c r="I195" s="40">
        <f>H195*G195</f>
        <v>42000</v>
      </c>
    </row>
    <row r="196" spans="1:10" ht="18" customHeight="1">
      <c r="A196" s="105"/>
      <c r="B196" s="105"/>
      <c r="C196" s="19"/>
      <c r="D196" s="31"/>
      <c r="E196" s="53" t="s">
        <v>82</v>
      </c>
      <c r="F196" s="23" t="s">
        <v>83</v>
      </c>
      <c r="G196" s="76">
        <v>8</v>
      </c>
      <c r="H196" s="44">
        <v>3000</v>
      </c>
      <c r="I196" s="44">
        <f>H196*G196</f>
        <v>24000</v>
      </c>
    </row>
    <row r="197" spans="1:10" ht="28.5" customHeight="1">
      <c r="A197" s="277"/>
      <c r="B197" s="277"/>
      <c r="C197" s="4"/>
      <c r="D197" s="259"/>
      <c r="E197" s="63"/>
      <c r="F197" s="769" t="s">
        <v>190</v>
      </c>
      <c r="G197" s="770"/>
      <c r="H197" s="771"/>
      <c r="I197" s="268">
        <f>SUM(I170:I196)</f>
        <v>4644450</v>
      </c>
    </row>
    <row r="198" spans="1:10" ht="18" customHeight="1">
      <c r="A198" s="772" t="s">
        <v>250</v>
      </c>
      <c r="B198" s="772"/>
      <c r="C198" s="4"/>
      <c r="D198" s="259"/>
      <c r="E198" s="63"/>
      <c r="F198" s="65"/>
      <c r="G198" s="66"/>
      <c r="H198" s="83"/>
      <c r="I198" s="83"/>
    </row>
    <row r="199" spans="1:10" ht="18" customHeight="1">
      <c r="A199" s="297"/>
      <c r="B199" s="297"/>
      <c r="C199" s="4"/>
      <c r="D199" s="259"/>
      <c r="E199" s="63"/>
      <c r="F199" s="65"/>
      <c r="G199" s="66"/>
      <c r="H199" s="83"/>
      <c r="I199" s="83"/>
    </row>
    <row r="200" spans="1:10" s="3" customFormat="1" ht="18" customHeight="1">
      <c r="A200" s="20" t="s">
        <v>30</v>
      </c>
      <c r="B200" s="20" t="s">
        <v>31</v>
      </c>
      <c r="C200" s="20" t="s">
        <v>12</v>
      </c>
      <c r="D200" s="20" t="s">
        <v>32</v>
      </c>
      <c r="E200" s="20" t="s">
        <v>34</v>
      </c>
      <c r="F200" s="20" t="s">
        <v>12</v>
      </c>
      <c r="G200" s="36" t="s">
        <v>32</v>
      </c>
      <c r="H200" s="37" t="s">
        <v>40</v>
      </c>
      <c r="I200" s="37" t="s">
        <v>33</v>
      </c>
      <c r="J200" s="187"/>
    </row>
    <row r="201" spans="1:10" s="116" customFormat="1" ht="27" customHeight="1">
      <c r="A201" s="72" t="s">
        <v>26</v>
      </c>
      <c r="B201" s="313" t="s">
        <v>253</v>
      </c>
      <c r="C201" s="78" t="s">
        <v>129</v>
      </c>
      <c r="D201" s="235">
        <f>'BDE moellon '!D111</f>
        <v>1</v>
      </c>
      <c r="E201" s="235"/>
      <c r="F201" s="236"/>
      <c r="G201" s="237"/>
      <c r="H201" s="238"/>
      <c r="I201" s="238"/>
      <c r="J201" s="115"/>
    </row>
    <row r="202" spans="1:10" s="116" customFormat="1" ht="26.25" customHeight="1">
      <c r="A202" s="106"/>
      <c r="B202" s="95"/>
      <c r="C202" s="89"/>
      <c r="D202" s="252"/>
      <c r="E202" s="255" t="s">
        <v>346</v>
      </c>
      <c r="F202" s="253" t="s">
        <v>129</v>
      </c>
      <c r="G202" s="253">
        <v>1</v>
      </c>
      <c r="H202" s="254">
        <v>500000</v>
      </c>
      <c r="I202" s="254">
        <f>G202*H202</f>
        <v>500000</v>
      </c>
      <c r="J202" s="115"/>
    </row>
    <row r="203" spans="1:10" s="116" customFormat="1" ht="39.75" customHeight="1">
      <c r="A203" s="106"/>
      <c r="B203" s="95"/>
      <c r="C203" s="89"/>
      <c r="D203" s="252"/>
      <c r="E203" s="255" t="s">
        <v>373</v>
      </c>
      <c r="F203" s="253" t="s">
        <v>129</v>
      </c>
      <c r="G203" s="253">
        <v>1</v>
      </c>
      <c r="H203" s="254">
        <v>200000</v>
      </c>
      <c r="I203" s="254">
        <f>G203*H203</f>
        <v>200000</v>
      </c>
      <c r="J203" s="115"/>
    </row>
    <row r="204" spans="1:10" s="116" customFormat="1" ht="26.25" customHeight="1">
      <c r="A204" s="106"/>
      <c r="B204" s="95"/>
      <c r="C204" s="89"/>
      <c r="D204" s="252"/>
      <c r="E204" s="255" t="s">
        <v>345</v>
      </c>
      <c r="F204" s="253" t="s">
        <v>129</v>
      </c>
      <c r="G204" s="253">
        <v>1</v>
      </c>
      <c r="H204" s="254">
        <v>400000</v>
      </c>
      <c r="I204" s="254">
        <f>G204*H204</f>
        <v>400000</v>
      </c>
      <c r="J204" s="115"/>
    </row>
    <row r="205" spans="1:10" s="116" customFormat="1" ht="38.25" customHeight="1">
      <c r="A205" s="106"/>
      <c r="B205" s="95"/>
      <c r="C205" s="89"/>
      <c r="D205" s="252"/>
      <c r="E205" s="255" t="s">
        <v>374</v>
      </c>
      <c r="F205" s="253" t="s">
        <v>129</v>
      </c>
      <c r="G205" s="253">
        <v>1</v>
      </c>
      <c r="H205" s="254">
        <v>150000</v>
      </c>
      <c r="I205" s="254">
        <f>G205*H205</f>
        <v>150000</v>
      </c>
      <c r="J205" s="115"/>
    </row>
    <row r="206" spans="1:10" s="116" customFormat="1" ht="27" customHeight="1">
      <c r="A206" s="72" t="s">
        <v>27</v>
      </c>
      <c r="B206" s="289" t="s">
        <v>254</v>
      </c>
      <c r="C206" s="78" t="s">
        <v>12</v>
      </c>
      <c r="D206" s="235">
        <f>'BDE moellon '!D112</f>
        <v>4</v>
      </c>
      <c r="E206" s="235"/>
      <c r="F206" s="236"/>
      <c r="G206" s="237"/>
      <c r="H206" s="238"/>
      <c r="I206" s="238"/>
      <c r="J206" s="115"/>
    </row>
    <row r="207" spans="1:10" s="116" customFormat="1" ht="26.25" customHeight="1">
      <c r="A207" s="74"/>
      <c r="B207" s="75"/>
      <c r="C207" s="93"/>
      <c r="D207" s="239"/>
      <c r="E207" s="250" t="s">
        <v>340</v>
      </c>
      <c r="F207" s="240" t="s">
        <v>12</v>
      </c>
      <c r="G207" s="240">
        <v>4</v>
      </c>
      <c r="H207" s="241">
        <v>187000</v>
      </c>
      <c r="I207" s="241">
        <f>G207*H207</f>
        <v>748000</v>
      </c>
      <c r="J207" s="115"/>
    </row>
    <row r="208" spans="1:10" s="116" customFormat="1" ht="27" customHeight="1">
      <c r="A208" s="72" t="s">
        <v>28</v>
      </c>
      <c r="B208" s="289" t="s">
        <v>255</v>
      </c>
      <c r="C208" s="78" t="s">
        <v>12</v>
      </c>
      <c r="D208" s="235">
        <f>'BDE moellon '!D113</f>
        <v>2</v>
      </c>
      <c r="E208" s="251"/>
      <c r="F208" s="236"/>
      <c r="G208" s="236"/>
      <c r="H208" s="238"/>
      <c r="I208" s="238"/>
      <c r="J208" s="115"/>
    </row>
    <row r="209" spans="1:10" s="116" customFormat="1" ht="40.5" customHeight="1">
      <c r="A209" s="74"/>
      <c r="B209" s="75"/>
      <c r="C209" s="93"/>
      <c r="D209" s="239"/>
      <c r="E209" s="250" t="s">
        <v>342</v>
      </c>
      <c r="F209" s="240" t="s">
        <v>12</v>
      </c>
      <c r="G209" s="240">
        <v>2</v>
      </c>
      <c r="H209" s="241">
        <v>295000</v>
      </c>
      <c r="I209" s="241">
        <f>G209*H209</f>
        <v>590000</v>
      </c>
      <c r="J209" s="115"/>
    </row>
    <row r="210" spans="1:10" s="116" customFormat="1" ht="27" customHeight="1">
      <c r="A210" s="72" t="s">
        <v>29</v>
      </c>
      <c r="B210" s="313" t="s">
        <v>256</v>
      </c>
      <c r="C210" s="242" t="s">
        <v>12</v>
      </c>
      <c r="D210" s="235">
        <f>'BDE moellon '!D114</f>
        <v>2</v>
      </c>
      <c r="E210" s="251"/>
      <c r="F210" s="236"/>
      <c r="G210" s="236"/>
      <c r="H210" s="238"/>
      <c r="I210" s="238"/>
      <c r="J210" s="115"/>
    </row>
    <row r="211" spans="1:10" s="116" customFormat="1" ht="26.25" customHeight="1">
      <c r="A211" s="74"/>
      <c r="B211" s="314"/>
      <c r="C211" s="243"/>
      <c r="D211" s="239"/>
      <c r="E211" s="250" t="s">
        <v>341</v>
      </c>
      <c r="F211" s="240" t="s">
        <v>12</v>
      </c>
      <c r="G211" s="240">
        <v>2</v>
      </c>
      <c r="H211" s="244">
        <v>59000</v>
      </c>
      <c r="I211" s="244">
        <f>G211*H211</f>
        <v>118000</v>
      </c>
      <c r="J211" s="115"/>
    </row>
    <row r="212" spans="1:10" s="116" customFormat="1" ht="30" customHeight="1">
      <c r="A212" s="272"/>
      <c r="B212" s="315"/>
      <c r="C212" s="278"/>
      <c r="D212" s="274"/>
      <c r="E212" s="279"/>
      <c r="F212" s="769" t="s">
        <v>133</v>
      </c>
      <c r="G212" s="770"/>
      <c r="H212" s="771"/>
      <c r="I212" s="280">
        <f>SUM(I201:I211)</f>
        <v>2706000</v>
      </c>
      <c r="J212" s="115"/>
    </row>
    <row r="213" spans="1:10" ht="18" customHeight="1">
      <c r="A213" s="772" t="s">
        <v>251</v>
      </c>
      <c r="B213" s="772"/>
      <c r="C213" s="4"/>
      <c r="D213" s="259"/>
      <c r="E213" s="63"/>
      <c r="F213" s="65"/>
      <c r="G213" s="66"/>
      <c r="H213" s="83"/>
      <c r="I213" s="83"/>
    </row>
    <row r="214" spans="1:10" ht="18" customHeight="1">
      <c r="A214" s="297"/>
      <c r="B214" s="297"/>
      <c r="C214" s="4"/>
      <c r="D214" s="259"/>
      <c r="E214" s="63"/>
      <c r="F214" s="65"/>
      <c r="G214" s="66"/>
      <c r="H214" s="83"/>
      <c r="I214" s="83"/>
    </row>
    <row r="215" spans="1:10" s="3" customFormat="1" ht="18" customHeight="1">
      <c r="A215" s="20" t="s">
        <v>30</v>
      </c>
      <c r="B215" s="20" t="s">
        <v>31</v>
      </c>
      <c r="C215" s="20" t="s">
        <v>12</v>
      </c>
      <c r="D215" s="20" t="s">
        <v>32</v>
      </c>
      <c r="E215" s="20" t="s">
        <v>34</v>
      </c>
      <c r="F215" s="20" t="s">
        <v>12</v>
      </c>
      <c r="G215" s="36" t="s">
        <v>32</v>
      </c>
      <c r="H215" s="37" t="s">
        <v>40</v>
      </c>
      <c r="I215" s="37" t="s">
        <v>33</v>
      </c>
      <c r="J215" s="187"/>
    </row>
    <row r="216" spans="1:10" s="132" customFormat="1" ht="26.25" customHeight="1">
      <c r="A216" s="72" t="s">
        <v>261</v>
      </c>
      <c r="B216" s="289" t="s">
        <v>269</v>
      </c>
      <c r="C216" s="78" t="s">
        <v>10</v>
      </c>
      <c r="D216" s="120">
        <v>75</v>
      </c>
      <c r="E216" s="104"/>
      <c r="F216" s="21"/>
      <c r="G216" s="109"/>
      <c r="H216" s="118"/>
      <c r="I216" s="118"/>
      <c r="J216" s="188"/>
    </row>
    <row r="217" spans="1:10" s="132" customFormat="1" ht="18.75" customHeight="1">
      <c r="A217" s="106"/>
      <c r="B217" s="90"/>
      <c r="C217" s="89"/>
      <c r="D217" s="30"/>
      <c r="E217" s="55" t="s">
        <v>139</v>
      </c>
      <c r="F217" s="27" t="s">
        <v>12</v>
      </c>
      <c r="G217" s="110">
        <v>13</v>
      </c>
      <c r="H217" s="79">
        <v>25000</v>
      </c>
      <c r="I217" s="79">
        <f>G217*H217</f>
        <v>325000</v>
      </c>
      <c r="J217" s="188"/>
    </row>
    <row r="218" spans="1:10" s="132" customFormat="1" ht="18.75" customHeight="1">
      <c r="A218" s="106"/>
      <c r="B218" s="90"/>
      <c r="C218" s="89"/>
      <c r="D218" s="30"/>
      <c r="E218" s="55" t="s">
        <v>336</v>
      </c>
      <c r="F218" s="27" t="s">
        <v>12</v>
      </c>
      <c r="G218" s="110">
        <v>10</v>
      </c>
      <c r="H218" s="79">
        <v>3500</v>
      </c>
      <c r="I218" s="79">
        <f t="shared" ref="I218:I219" si="28">G218*H218</f>
        <v>35000</v>
      </c>
      <c r="J218" s="188"/>
    </row>
    <row r="219" spans="1:10" s="132" customFormat="1" ht="18.75" customHeight="1">
      <c r="A219" s="74"/>
      <c r="B219" s="75"/>
      <c r="C219" s="93"/>
      <c r="D219" s="31"/>
      <c r="E219" s="247" t="s">
        <v>198</v>
      </c>
      <c r="F219" s="23" t="s">
        <v>110</v>
      </c>
      <c r="G219" s="245">
        <v>2</v>
      </c>
      <c r="H219" s="47">
        <v>8500</v>
      </c>
      <c r="I219" s="79">
        <f t="shared" si="28"/>
        <v>17000</v>
      </c>
      <c r="J219" s="188"/>
    </row>
    <row r="220" spans="1:10" s="132" customFormat="1" ht="18.75" customHeight="1">
      <c r="A220" s="77" t="s">
        <v>262</v>
      </c>
      <c r="B220" s="289" t="s">
        <v>270</v>
      </c>
      <c r="C220" s="78" t="s">
        <v>12</v>
      </c>
      <c r="D220" s="120">
        <f>'BDE moellon '!D122</f>
        <v>1</v>
      </c>
      <c r="E220" s="104"/>
      <c r="F220" s="21"/>
      <c r="G220" s="109"/>
      <c r="H220" s="118"/>
      <c r="I220" s="118"/>
      <c r="J220" s="188"/>
    </row>
    <row r="221" spans="1:10" s="132" customFormat="1" ht="18.75" customHeight="1">
      <c r="A221" s="108"/>
      <c r="B221" s="90"/>
      <c r="C221" s="89"/>
      <c r="D221" s="30"/>
      <c r="E221" s="39" t="s">
        <v>106</v>
      </c>
      <c r="F221" s="27" t="s">
        <v>23</v>
      </c>
      <c r="G221" s="110">
        <v>10</v>
      </c>
      <c r="H221" s="79">
        <f>+H233</f>
        <v>26500</v>
      </c>
      <c r="I221" s="79">
        <f>G221*H221</f>
        <v>265000</v>
      </c>
      <c r="J221" s="188"/>
    </row>
    <row r="222" spans="1:10" s="132" customFormat="1" ht="18.75" customHeight="1">
      <c r="A222" s="108"/>
      <c r="B222" s="90"/>
      <c r="C222" s="89"/>
      <c r="D222" s="30"/>
      <c r="E222" s="39" t="s">
        <v>42</v>
      </c>
      <c r="F222" s="27" t="s">
        <v>2</v>
      </c>
      <c r="G222" s="246">
        <v>4.5</v>
      </c>
      <c r="H222" s="79">
        <f>+H234</f>
        <v>20000</v>
      </c>
      <c r="I222" s="79">
        <f t="shared" ref="I222:I231" si="29">G222*H222</f>
        <v>90000</v>
      </c>
      <c r="J222" s="188"/>
    </row>
    <row r="223" spans="1:10" s="132" customFormat="1" ht="18.75" customHeight="1">
      <c r="A223" s="108"/>
      <c r="B223" s="90"/>
      <c r="C223" s="89"/>
      <c r="D223" s="30"/>
      <c r="E223" s="39" t="s">
        <v>348</v>
      </c>
      <c r="F223" s="27" t="s">
        <v>2</v>
      </c>
      <c r="G223" s="246">
        <v>3.5</v>
      </c>
      <c r="H223" s="79">
        <f>+H235</f>
        <v>75000</v>
      </c>
      <c r="I223" s="79">
        <f t="shared" si="29"/>
        <v>262500</v>
      </c>
      <c r="J223" s="188"/>
    </row>
    <row r="224" spans="1:10" s="132" customFormat="1" ht="18.75" customHeight="1">
      <c r="A224" s="108"/>
      <c r="B224" s="90"/>
      <c r="C224" s="89"/>
      <c r="D224" s="30"/>
      <c r="E224" s="39" t="s">
        <v>44</v>
      </c>
      <c r="F224" s="27" t="s">
        <v>12</v>
      </c>
      <c r="G224" s="249">
        <v>400</v>
      </c>
      <c r="H224" s="79">
        <f>H44</f>
        <v>450</v>
      </c>
      <c r="I224" s="79">
        <f t="shared" si="29"/>
        <v>180000</v>
      </c>
      <c r="J224" s="188"/>
    </row>
    <row r="225" spans="1:10" s="132" customFormat="1" ht="18.75" customHeight="1">
      <c r="A225" s="108"/>
      <c r="B225" s="90"/>
      <c r="C225" s="89"/>
      <c r="D225" s="30"/>
      <c r="E225" s="39" t="s">
        <v>38</v>
      </c>
      <c r="F225" s="27" t="s">
        <v>2</v>
      </c>
      <c r="G225" s="246">
        <v>2</v>
      </c>
      <c r="H225" s="79">
        <v>50000</v>
      </c>
      <c r="I225" s="79">
        <f t="shared" si="29"/>
        <v>100000</v>
      </c>
      <c r="J225" s="188"/>
    </row>
    <row r="226" spans="1:10" s="132" customFormat="1" ht="18.75" customHeight="1">
      <c r="A226" s="108"/>
      <c r="B226" s="90"/>
      <c r="C226" s="89"/>
      <c r="D226" s="30"/>
      <c r="E226" s="39" t="s">
        <v>313</v>
      </c>
      <c r="F226" s="27" t="s">
        <v>2</v>
      </c>
      <c r="G226" s="246">
        <v>2</v>
      </c>
      <c r="H226" s="79">
        <v>40000</v>
      </c>
      <c r="I226" s="79">
        <f t="shared" si="29"/>
        <v>80000</v>
      </c>
      <c r="J226" s="188"/>
    </row>
    <row r="227" spans="1:10" s="132" customFormat="1" ht="18.75" customHeight="1">
      <c r="A227" s="108"/>
      <c r="B227" s="90"/>
      <c r="C227" s="89"/>
      <c r="D227" s="30"/>
      <c r="E227" s="55" t="s">
        <v>347</v>
      </c>
      <c r="F227" s="27" t="s">
        <v>37</v>
      </c>
      <c r="G227" s="110">
        <v>6</v>
      </c>
      <c r="H227" s="79">
        <f>H57</f>
        <v>19000</v>
      </c>
      <c r="I227" s="79">
        <f t="shared" si="29"/>
        <v>114000</v>
      </c>
      <c r="J227" s="188"/>
    </row>
    <row r="228" spans="1:10" s="132" customFormat="1" ht="18.75" customHeight="1">
      <c r="A228" s="108"/>
      <c r="B228" s="90"/>
      <c r="C228" s="89"/>
      <c r="D228" s="30"/>
      <c r="E228" s="55" t="s">
        <v>45</v>
      </c>
      <c r="F228" s="27" t="s">
        <v>8</v>
      </c>
      <c r="G228" s="110">
        <v>0.5</v>
      </c>
      <c r="H228" s="79">
        <f>+H237</f>
        <v>5000</v>
      </c>
      <c r="I228" s="79">
        <f t="shared" si="29"/>
        <v>2500</v>
      </c>
      <c r="J228" s="188"/>
    </row>
    <row r="229" spans="1:10" s="132" customFormat="1" ht="26.25" customHeight="1">
      <c r="A229" s="108"/>
      <c r="B229" s="90"/>
      <c r="C229" s="89"/>
      <c r="D229" s="30"/>
      <c r="E229" s="50" t="s">
        <v>314</v>
      </c>
      <c r="F229" s="27" t="s">
        <v>12</v>
      </c>
      <c r="G229" s="110">
        <v>10</v>
      </c>
      <c r="H229" s="79">
        <f>+H238</f>
        <v>4000</v>
      </c>
      <c r="I229" s="79">
        <f t="shared" si="29"/>
        <v>40000</v>
      </c>
      <c r="J229" s="188"/>
    </row>
    <row r="230" spans="1:10" s="132" customFormat="1" ht="18.75" customHeight="1">
      <c r="A230" s="108"/>
      <c r="B230" s="90"/>
      <c r="C230" s="89"/>
      <c r="D230" s="30"/>
      <c r="E230" s="50" t="s">
        <v>62</v>
      </c>
      <c r="F230" s="27" t="s">
        <v>12</v>
      </c>
      <c r="G230" s="6">
        <v>5</v>
      </c>
      <c r="H230" s="40">
        <f>+H62</f>
        <v>4000</v>
      </c>
      <c r="I230" s="79">
        <f t="shared" si="29"/>
        <v>20000</v>
      </c>
      <c r="J230" s="188"/>
    </row>
    <row r="231" spans="1:10" s="132" customFormat="1" ht="18.75" customHeight="1">
      <c r="A231" s="108"/>
      <c r="B231" s="90"/>
      <c r="C231" s="89"/>
      <c r="D231" s="30"/>
      <c r="E231" s="52" t="s">
        <v>77</v>
      </c>
      <c r="F231" s="23" t="s">
        <v>8</v>
      </c>
      <c r="G231" s="245">
        <v>1</v>
      </c>
      <c r="H231" s="47">
        <f>+H239</f>
        <v>5000</v>
      </c>
      <c r="I231" s="47">
        <f t="shared" si="29"/>
        <v>5000</v>
      </c>
      <c r="J231" s="188"/>
    </row>
    <row r="232" spans="1:10" s="132" customFormat="1" ht="26.25" customHeight="1">
      <c r="A232" s="72" t="s">
        <v>263</v>
      </c>
      <c r="B232" s="289" t="s">
        <v>271</v>
      </c>
      <c r="C232" s="78" t="s">
        <v>12</v>
      </c>
      <c r="D232" s="120">
        <f>'BDE moellon '!D123</f>
        <v>7</v>
      </c>
      <c r="E232" s="104"/>
      <c r="F232" s="21"/>
      <c r="G232" s="109"/>
      <c r="H232" s="118"/>
      <c r="I232" s="118"/>
      <c r="J232" s="188"/>
    </row>
    <row r="233" spans="1:10" s="132" customFormat="1" ht="18.75" customHeight="1">
      <c r="A233" s="106"/>
      <c r="B233" s="90"/>
      <c r="C233" s="89"/>
      <c r="D233" s="30"/>
      <c r="E233" s="39" t="s">
        <v>106</v>
      </c>
      <c r="F233" s="27" t="s">
        <v>23</v>
      </c>
      <c r="G233" s="110">
        <v>18</v>
      </c>
      <c r="H233" s="79">
        <f>H241</f>
        <v>26500</v>
      </c>
      <c r="I233" s="79">
        <f>G233*H233</f>
        <v>477000</v>
      </c>
      <c r="J233" s="188"/>
    </row>
    <row r="234" spans="1:10" s="132" customFormat="1" ht="18.75" customHeight="1">
      <c r="A234" s="106"/>
      <c r="B234" s="90"/>
      <c r="C234" s="89"/>
      <c r="D234" s="30"/>
      <c r="E234" s="39" t="s">
        <v>42</v>
      </c>
      <c r="F234" s="27" t="s">
        <v>2</v>
      </c>
      <c r="G234" s="246">
        <v>2</v>
      </c>
      <c r="H234" s="79">
        <f>H242</f>
        <v>20000</v>
      </c>
      <c r="I234" s="79">
        <f t="shared" ref="I234:I239" si="30">G234*H234</f>
        <v>40000</v>
      </c>
      <c r="J234" s="188"/>
    </row>
    <row r="235" spans="1:10" s="132" customFormat="1" ht="18.75" customHeight="1">
      <c r="A235" s="106"/>
      <c r="B235" s="90"/>
      <c r="C235" s="89"/>
      <c r="D235" s="30"/>
      <c r="E235" s="39" t="s">
        <v>348</v>
      </c>
      <c r="F235" s="27" t="s">
        <v>2</v>
      </c>
      <c r="G235" s="246">
        <v>2.5</v>
      </c>
      <c r="H235" s="79">
        <f>H243</f>
        <v>75000</v>
      </c>
      <c r="I235" s="79">
        <f t="shared" si="30"/>
        <v>187500</v>
      </c>
      <c r="J235" s="188"/>
    </row>
    <row r="236" spans="1:10" s="132" customFormat="1" ht="18" customHeight="1">
      <c r="A236" s="106"/>
      <c r="B236" s="90"/>
      <c r="C236" s="89"/>
      <c r="D236" s="30"/>
      <c r="E236" s="55" t="s">
        <v>278</v>
      </c>
      <c r="F236" s="27" t="s">
        <v>37</v>
      </c>
      <c r="G236" s="110">
        <v>28</v>
      </c>
      <c r="H236" s="79">
        <f>H244</f>
        <v>8500</v>
      </c>
      <c r="I236" s="79">
        <f t="shared" si="30"/>
        <v>238000</v>
      </c>
      <c r="J236" s="188"/>
    </row>
    <row r="237" spans="1:10" s="132" customFormat="1" ht="18" customHeight="1">
      <c r="A237" s="106"/>
      <c r="B237" s="90"/>
      <c r="C237" s="89"/>
      <c r="D237" s="30"/>
      <c r="E237" s="55" t="s">
        <v>45</v>
      </c>
      <c r="F237" s="27" t="s">
        <v>8</v>
      </c>
      <c r="G237" s="110">
        <v>2</v>
      </c>
      <c r="H237" s="79">
        <f>H246</f>
        <v>5000</v>
      </c>
      <c r="I237" s="79">
        <f t="shared" si="30"/>
        <v>10000</v>
      </c>
      <c r="J237" s="188"/>
    </row>
    <row r="238" spans="1:10" s="132" customFormat="1" ht="26.25" customHeight="1">
      <c r="A238" s="106"/>
      <c r="B238" s="90"/>
      <c r="C238" s="89"/>
      <c r="D238" s="30"/>
      <c r="E238" s="50" t="s">
        <v>314</v>
      </c>
      <c r="F238" s="27" t="s">
        <v>12</v>
      </c>
      <c r="G238" s="110">
        <v>21</v>
      </c>
      <c r="H238" s="79">
        <f>H247</f>
        <v>4000</v>
      </c>
      <c r="I238" s="79">
        <f t="shared" si="30"/>
        <v>84000</v>
      </c>
      <c r="J238" s="188"/>
    </row>
    <row r="239" spans="1:10" s="132" customFormat="1" ht="18.75" customHeight="1">
      <c r="A239" s="74"/>
      <c r="B239" s="75"/>
      <c r="C239" s="93"/>
      <c r="D239" s="31"/>
      <c r="E239" s="52" t="s">
        <v>77</v>
      </c>
      <c r="F239" s="23" t="s">
        <v>8</v>
      </c>
      <c r="G239" s="245">
        <v>2</v>
      </c>
      <c r="H239" s="47">
        <f>H250</f>
        <v>5000</v>
      </c>
      <c r="I239" s="47">
        <f t="shared" si="30"/>
        <v>10000</v>
      </c>
      <c r="J239" s="188"/>
    </row>
    <row r="240" spans="1:10" s="132" customFormat="1" ht="18" customHeight="1">
      <c r="A240" s="108" t="s">
        <v>273</v>
      </c>
      <c r="B240" s="90" t="s">
        <v>272</v>
      </c>
      <c r="C240" s="89" t="s">
        <v>129</v>
      </c>
      <c r="D240" s="30">
        <f>'BDE moellon '!D124</f>
        <v>1</v>
      </c>
      <c r="E240" s="55"/>
      <c r="F240" s="27"/>
      <c r="G240" s="110"/>
      <c r="H240" s="79"/>
      <c r="I240" s="79"/>
      <c r="J240" s="188"/>
    </row>
    <row r="241" spans="1:10" s="132" customFormat="1" ht="18" customHeight="1">
      <c r="A241" s="108"/>
      <c r="B241" s="90"/>
      <c r="C241" s="89"/>
      <c r="D241" s="30"/>
      <c r="E241" s="39" t="s">
        <v>106</v>
      </c>
      <c r="F241" s="27" t="s">
        <v>23</v>
      </c>
      <c r="G241" s="110">
        <v>22</v>
      </c>
      <c r="H241" s="79">
        <f>H21</f>
        <v>26500</v>
      </c>
      <c r="I241" s="201">
        <f>G241*H241</f>
        <v>583000</v>
      </c>
      <c r="J241" s="188"/>
    </row>
    <row r="242" spans="1:10" s="132" customFormat="1" ht="18" customHeight="1">
      <c r="A242" s="108"/>
      <c r="B242" s="90"/>
      <c r="C242" s="89"/>
      <c r="D242" s="30"/>
      <c r="E242" s="39" t="s">
        <v>42</v>
      </c>
      <c r="F242" s="27" t="s">
        <v>2</v>
      </c>
      <c r="G242" s="110">
        <v>2</v>
      </c>
      <c r="H242" s="79">
        <f>H22</f>
        <v>20000</v>
      </c>
      <c r="I242" s="201">
        <f t="shared" ref="I242:I250" si="31">G242*H242</f>
        <v>40000</v>
      </c>
      <c r="J242" s="188"/>
    </row>
    <row r="243" spans="1:10" s="132" customFormat="1" ht="18" customHeight="1">
      <c r="A243" s="108"/>
      <c r="B243" s="90"/>
      <c r="C243" s="89"/>
      <c r="D243" s="30"/>
      <c r="E243" s="39" t="s">
        <v>348</v>
      </c>
      <c r="F243" s="27" t="s">
        <v>2</v>
      </c>
      <c r="G243" s="110">
        <v>3</v>
      </c>
      <c r="H243" s="79">
        <f>H23</f>
        <v>75000</v>
      </c>
      <c r="I243" s="201">
        <f t="shared" si="31"/>
        <v>225000</v>
      </c>
      <c r="J243" s="188"/>
    </row>
    <row r="244" spans="1:10" s="132" customFormat="1" ht="18" customHeight="1">
      <c r="A244" s="108"/>
      <c r="B244" s="90"/>
      <c r="C244" s="89"/>
      <c r="D244" s="30"/>
      <c r="E244" s="55" t="s">
        <v>278</v>
      </c>
      <c r="F244" s="27" t="s">
        <v>37</v>
      </c>
      <c r="G244" s="110">
        <v>17</v>
      </c>
      <c r="H244" s="79">
        <f>H36</f>
        <v>8500</v>
      </c>
      <c r="I244" s="201">
        <f t="shared" si="31"/>
        <v>144500</v>
      </c>
      <c r="J244" s="188"/>
    </row>
    <row r="245" spans="1:10" s="132" customFormat="1" ht="18" customHeight="1">
      <c r="A245" s="108"/>
      <c r="B245" s="90"/>
      <c r="C245" s="89"/>
      <c r="D245" s="30"/>
      <c r="E245" s="55" t="s">
        <v>333</v>
      </c>
      <c r="F245" s="27" t="s">
        <v>37</v>
      </c>
      <c r="G245" s="110">
        <v>15</v>
      </c>
      <c r="H245" s="79">
        <f>H37</f>
        <v>13000</v>
      </c>
      <c r="I245" s="201">
        <f t="shared" si="31"/>
        <v>195000</v>
      </c>
      <c r="J245" s="188"/>
    </row>
    <row r="246" spans="1:10" s="132" customFormat="1" ht="18" customHeight="1">
      <c r="A246" s="108"/>
      <c r="B246" s="90"/>
      <c r="C246" s="89"/>
      <c r="D246" s="30"/>
      <c r="E246" s="55" t="s">
        <v>45</v>
      </c>
      <c r="F246" s="27" t="s">
        <v>8</v>
      </c>
      <c r="G246" s="110">
        <v>2</v>
      </c>
      <c r="H246" s="79">
        <f>H39</f>
        <v>5000</v>
      </c>
      <c r="I246" s="201">
        <f t="shared" si="31"/>
        <v>10000</v>
      </c>
      <c r="J246" s="188"/>
    </row>
    <row r="247" spans="1:10" s="132" customFormat="1" ht="26.25" customHeight="1">
      <c r="A247" s="108"/>
      <c r="B247" s="90"/>
      <c r="C247" s="89"/>
      <c r="D247" s="30"/>
      <c r="E247" s="50" t="s">
        <v>314</v>
      </c>
      <c r="F247" s="27" t="s">
        <v>12</v>
      </c>
      <c r="G247" s="110">
        <v>66</v>
      </c>
      <c r="H247" s="79">
        <f>H61</f>
        <v>4000</v>
      </c>
      <c r="I247" s="201">
        <f t="shared" si="31"/>
        <v>264000</v>
      </c>
      <c r="J247" s="188"/>
    </row>
    <row r="248" spans="1:10" s="132" customFormat="1" ht="18" customHeight="1">
      <c r="A248" s="108"/>
      <c r="B248" s="90"/>
      <c r="C248" s="89"/>
      <c r="D248" s="30"/>
      <c r="E248" s="50" t="s">
        <v>62</v>
      </c>
      <c r="F248" s="27" t="s">
        <v>12</v>
      </c>
      <c r="G248" s="110">
        <v>13</v>
      </c>
      <c r="H248" s="79">
        <f>H62</f>
        <v>4000</v>
      </c>
      <c r="I248" s="201">
        <f t="shared" si="31"/>
        <v>52000</v>
      </c>
      <c r="J248" s="188"/>
    </row>
    <row r="249" spans="1:10" s="132" customFormat="1" ht="18" customHeight="1">
      <c r="A249" s="108"/>
      <c r="B249" s="90"/>
      <c r="C249" s="89"/>
      <c r="D249" s="30"/>
      <c r="E249" s="50" t="s">
        <v>96</v>
      </c>
      <c r="F249" s="27" t="s">
        <v>12</v>
      </c>
      <c r="G249" s="110">
        <v>6</v>
      </c>
      <c r="H249" s="79">
        <f>H63</f>
        <v>3500</v>
      </c>
      <c r="I249" s="201">
        <f t="shared" si="31"/>
        <v>21000</v>
      </c>
      <c r="J249" s="188"/>
    </row>
    <row r="250" spans="1:10" s="132" customFormat="1" ht="18" customHeight="1">
      <c r="A250" s="108"/>
      <c r="B250" s="90"/>
      <c r="C250" s="89"/>
      <c r="D250" s="30"/>
      <c r="E250" s="51" t="s">
        <v>77</v>
      </c>
      <c r="F250" s="27" t="s">
        <v>8</v>
      </c>
      <c r="G250" s="110">
        <v>1.5</v>
      </c>
      <c r="H250" s="79">
        <f>H64</f>
        <v>5000</v>
      </c>
      <c r="I250" s="201">
        <f t="shared" si="31"/>
        <v>7500</v>
      </c>
      <c r="J250" s="188"/>
    </row>
    <row r="251" spans="1:10" s="132" customFormat="1" ht="18" customHeight="1">
      <c r="A251" s="108"/>
      <c r="B251" s="90"/>
      <c r="C251" s="89"/>
      <c r="D251" s="30"/>
      <c r="E251" s="51" t="s">
        <v>79</v>
      </c>
      <c r="F251" s="27" t="s">
        <v>8</v>
      </c>
      <c r="G251" s="110">
        <v>2</v>
      </c>
      <c r="H251" s="79">
        <f>H114</f>
        <v>37500</v>
      </c>
      <c r="I251" s="201">
        <f t="shared" ref="I251:I253" si="32">G251*H251</f>
        <v>75000</v>
      </c>
      <c r="J251" s="188"/>
    </row>
    <row r="252" spans="1:10" s="132" customFormat="1" ht="18" customHeight="1">
      <c r="A252" s="108"/>
      <c r="B252" s="90"/>
      <c r="C252" s="89"/>
      <c r="D252" s="30"/>
      <c r="E252" s="51" t="s">
        <v>337</v>
      </c>
      <c r="F252" s="27" t="s">
        <v>8</v>
      </c>
      <c r="G252" s="110">
        <v>500</v>
      </c>
      <c r="H252" s="79">
        <v>400</v>
      </c>
      <c r="I252" s="201">
        <f t="shared" si="32"/>
        <v>200000</v>
      </c>
      <c r="J252" s="188"/>
    </row>
    <row r="253" spans="1:10" s="132" customFormat="1" ht="18" customHeight="1">
      <c r="A253" s="316"/>
      <c r="B253" s="75"/>
      <c r="C253" s="93"/>
      <c r="D253" s="31"/>
      <c r="E253" s="52" t="s">
        <v>338</v>
      </c>
      <c r="F253" s="27" t="s">
        <v>12</v>
      </c>
      <c r="G253" s="110">
        <v>2</v>
      </c>
      <c r="H253" s="79">
        <v>5000</v>
      </c>
      <c r="I253" s="201">
        <f t="shared" si="32"/>
        <v>10000</v>
      </c>
      <c r="J253" s="188">
        <f>SUM(I241:I253)</f>
        <v>1827000</v>
      </c>
    </row>
    <row r="254" spans="1:10" s="132" customFormat="1" ht="29.25" customHeight="1">
      <c r="A254" s="317"/>
      <c r="B254" s="88"/>
      <c r="C254" s="273"/>
      <c r="D254" s="259"/>
      <c r="E254" s="49"/>
      <c r="F254" s="769" t="s">
        <v>132</v>
      </c>
      <c r="G254" s="770"/>
      <c r="H254" s="771"/>
      <c r="I254" s="271">
        <f>SUM(I216:I253)</f>
        <v>4409500</v>
      </c>
      <c r="J254" s="188"/>
    </row>
    <row r="255" spans="1:10" ht="18" customHeight="1">
      <c r="A255" s="772" t="s">
        <v>252</v>
      </c>
      <c r="B255" s="772"/>
      <c r="C255" s="4"/>
      <c r="D255" s="259"/>
      <c r="E255" s="63"/>
      <c r="F255" s="65"/>
      <c r="G255" s="66"/>
      <c r="H255" s="83"/>
      <c r="I255" s="83"/>
    </row>
    <row r="256" spans="1:10" ht="18" customHeight="1">
      <c r="A256" s="297"/>
      <c r="B256" s="297"/>
      <c r="C256" s="4"/>
      <c r="D256" s="259"/>
      <c r="E256" s="63"/>
      <c r="F256" s="65"/>
      <c r="G256" s="66"/>
      <c r="H256" s="83"/>
      <c r="I256" s="83"/>
    </row>
    <row r="257" spans="1:10" s="3" customFormat="1" ht="18" customHeight="1">
      <c r="A257" s="20" t="s">
        <v>30</v>
      </c>
      <c r="B257" s="20" t="s">
        <v>31</v>
      </c>
      <c r="C257" s="20" t="s">
        <v>12</v>
      </c>
      <c r="D257" s="20" t="s">
        <v>32</v>
      </c>
      <c r="E257" s="20" t="s">
        <v>34</v>
      </c>
      <c r="F257" s="20" t="s">
        <v>12</v>
      </c>
      <c r="G257" s="36" t="s">
        <v>32</v>
      </c>
      <c r="H257" s="37" t="s">
        <v>40</v>
      </c>
      <c r="I257" s="37" t="s">
        <v>33</v>
      </c>
      <c r="J257" s="187"/>
    </row>
    <row r="258" spans="1:10" ht="27" customHeight="1">
      <c r="A258" s="72" t="s">
        <v>264</v>
      </c>
      <c r="B258" s="289" t="s">
        <v>257</v>
      </c>
      <c r="C258" s="84" t="s">
        <v>10</v>
      </c>
      <c r="D258" s="120">
        <f>'BDE moellon '!D130</f>
        <v>450</v>
      </c>
      <c r="E258" s="104" t="s">
        <v>343</v>
      </c>
      <c r="F258" s="21" t="s">
        <v>344</v>
      </c>
      <c r="G258" s="73">
        <v>9</v>
      </c>
      <c r="H258" s="38">
        <v>150000</v>
      </c>
      <c r="I258" s="38">
        <f>G258*H258</f>
        <v>1350000</v>
      </c>
    </row>
    <row r="259" spans="1:10" ht="27" customHeight="1">
      <c r="A259" s="72" t="s">
        <v>265</v>
      </c>
      <c r="B259" s="289" t="s">
        <v>258</v>
      </c>
      <c r="C259" s="84" t="s">
        <v>12</v>
      </c>
      <c r="D259" s="120">
        <f>'BDE moellon '!D131</f>
        <v>31</v>
      </c>
      <c r="E259" s="104"/>
      <c r="F259" s="21"/>
      <c r="G259" s="73">
        <v>15000</v>
      </c>
      <c r="H259" s="38"/>
      <c r="I259" s="38">
        <f>D259*G259</f>
        <v>465000</v>
      </c>
    </row>
    <row r="260" spans="1:10" s="132" customFormat="1" ht="27.75" customHeight="1">
      <c r="A260" s="72" t="s">
        <v>266</v>
      </c>
      <c r="B260" s="289" t="s">
        <v>259</v>
      </c>
      <c r="C260" s="84" t="s">
        <v>12</v>
      </c>
      <c r="D260" s="119">
        <f>'BDE moellon '!D132</f>
        <v>4</v>
      </c>
      <c r="E260" s="101"/>
      <c r="F260" s="67"/>
      <c r="G260" s="181">
        <v>17000</v>
      </c>
      <c r="H260" s="131"/>
      <c r="I260" s="38">
        <f t="shared" ref="I260:I262" si="33">D260*G260</f>
        <v>68000</v>
      </c>
      <c r="J260" s="6"/>
    </row>
    <row r="261" spans="1:10" ht="27" customHeight="1">
      <c r="A261" s="72" t="s">
        <v>267</v>
      </c>
      <c r="B261" s="284" t="s">
        <v>260</v>
      </c>
      <c r="C261" s="84" t="s">
        <v>12</v>
      </c>
      <c r="D261" s="119">
        <f>'BDE moellon '!D133</f>
        <v>32</v>
      </c>
      <c r="E261" s="101"/>
      <c r="F261" s="67"/>
      <c r="G261" s="68">
        <v>12500</v>
      </c>
      <c r="H261" s="69"/>
      <c r="I261" s="38">
        <f t="shared" si="33"/>
        <v>400000</v>
      </c>
    </row>
    <row r="262" spans="1:10" s="132" customFormat="1" ht="17.25" customHeight="1">
      <c r="A262" s="102" t="s">
        <v>268</v>
      </c>
      <c r="B262" s="284" t="s">
        <v>25</v>
      </c>
      <c r="C262" s="84" t="s">
        <v>12</v>
      </c>
      <c r="D262" s="31">
        <f>'BDE moellon '!D134</f>
        <v>35</v>
      </c>
      <c r="E262" s="53"/>
      <c r="F262" s="27"/>
      <c r="G262" s="110">
        <v>20000</v>
      </c>
      <c r="H262" s="79"/>
      <c r="I262" s="38">
        <f t="shared" si="33"/>
        <v>700000</v>
      </c>
      <c r="J262" s="6"/>
    </row>
    <row r="263" spans="1:10" ht="30" customHeight="1">
      <c r="A263" s="34"/>
      <c r="B263" s="5"/>
      <c r="C263" s="4"/>
      <c r="D263" s="48"/>
      <c r="E263" s="49"/>
      <c r="F263" s="769" t="s">
        <v>131</v>
      </c>
      <c r="G263" s="770"/>
      <c r="H263" s="771"/>
      <c r="I263" s="60">
        <f>SUM(I258:I262)</f>
        <v>2983000</v>
      </c>
    </row>
    <row r="264" spans="1:10" ht="30.75" customHeight="1">
      <c r="F264" s="777" t="s">
        <v>332</v>
      </c>
      <c r="G264" s="778"/>
      <c r="H264" s="779"/>
      <c r="I264" s="248">
        <f>I9+I16+I46+I82+I92+I108+I142+I156+I166+I197+I212+I254+I263</f>
        <v>109663890</v>
      </c>
    </row>
    <row r="305" spans="2:7" ht="15.75">
      <c r="B305" s="782" t="s">
        <v>201</v>
      </c>
      <c r="C305" s="782"/>
      <c r="D305" s="782"/>
      <c r="E305" s="782"/>
      <c r="F305" s="782"/>
      <c r="G305" s="782"/>
    </row>
    <row r="306" spans="2:7" ht="15.75">
      <c r="B306" s="298"/>
      <c r="C306" s="298"/>
      <c r="D306" s="298"/>
      <c r="E306" s="298"/>
      <c r="F306" s="298"/>
      <c r="G306" s="298"/>
    </row>
    <row r="308" spans="2:7" ht="18" customHeight="1">
      <c r="B308" s="299" t="s">
        <v>34</v>
      </c>
      <c r="C308" s="138" t="s">
        <v>114</v>
      </c>
      <c r="D308" s="138" t="s">
        <v>32</v>
      </c>
      <c r="E308" s="138" t="s">
        <v>195</v>
      </c>
      <c r="F308" s="775" t="s">
        <v>16</v>
      </c>
      <c r="G308" s="776"/>
    </row>
    <row r="309" spans="2:7" ht="18" customHeight="1">
      <c r="B309" s="182" t="s">
        <v>106</v>
      </c>
      <c r="C309" s="67" t="s">
        <v>23</v>
      </c>
      <c r="D309" s="190"/>
      <c r="E309" s="195">
        <f>+'PRIX MATX'!C7</f>
        <v>26500</v>
      </c>
      <c r="F309" s="773">
        <f>+D309*E309</f>
        <v>0</v>
      </c>
      <c r="G309" s="774"/>
    </row>
    <row r="310" spans="2:7" ht="18" customHeight="1">
      <c r="B310" s="182" t="s">
        <v>42</v>
      </c>
      <c r="C310" s="67" t="s">
        <v>2</v>
      </c>
      <c r="D310" s="191"/>
      <c r="E310" s="195">
        <f>+'PRIX MATX'!C9</f>
        <v>15000</v>
      </c>
      <c r="F310" s="773">
        <f t="shared" ref="F310:F356" si="34">+D310*E310</f>
        <v>0</v>
      </c>
      <c r="G310" s="774"/>
    </row>
    <row r="311" spans="2:7" ht="18" customHeight="1">
      <c r="B311" s="182" t="s">
        <v>43</v>
      </c>
      <c r="C311" s="67" t="s">
        <v>2</v>
      </c>
      <c r="D311" s="191"/>
      <c r="E311" s="195">
        <f>+'PRIX MATX'!C10</f>
        <v>75000</v>
      </c>
      <c r="F311" s="773">
        <f t="shared" si="34"/>
        <v>0</v>
      </c>
      <c r="G311" s="774"/>
    </row>
    <row r="312" spans="2:7" ht="18" customHeight="1">
      <c r="B312" s="182" t="s">
        <v>38</v>
      </c>
      <c r="C312" s="67" t="s">
        <v>2</v>
      </c>
      <c r="D312" s="191"/>
      <c r="E312" s="195">
        <f>+'PRIX MATX'!C11</f>
        <v>50000</v>
      </c>
      <c r="F312" s="773">
        <f t="shared" si="34"/>
        <v>0</v>
      </c>
      <c r="G312" s="774"/>
    </row>
    <row r="313" spans="2:7" ht="18" customHeight="1">
      <c r="B313" s="182" t="s">
        <v>202</v>
      </c>
      <c r="C313" s="67" t="s">
        <v>12</v>
      </c>
      <c r="D313" s="198"/>
      <c r="E313" s="195">
        <f>'PRIX MATX'!C5</f>
        <v>85</v>
      </c>
      <c r="F313" s="773">
        <f t="shared" ref="F313:F314" si="35">+D313*E313</f>
        <v>0</v>
      </c>
      <c r="G313" s="774"/>
    </row>
    <row r="314" spans="2:7" ht="18" customHeight="1">
      <c r="B314" s="182" t="s">
        <v>44</v>
      </c>
      <c r="C314" s="67" t="s">
        <v>12</v>
      </c>
      <c r="D314" s="198"/>
      <c r="E314" s="195">
        <f>'PRIX MATX'!C12</f>
        <v>400</v>
      </c>
      <c r="F314" s="773">
        <f t="shared" si="35"/>
        <v>0</v>
      </c>
      <c r="G314" s="774"/>
    </row>
    <row r="315" spans="2:7" ht="18" customHeight="1">
      <c r="B315" s="182" t="s">
        <v>203</v>
      </c>
      <c r="C315" s="67" t="s">
        <v>12</v>
      </c>
      <c r="D315" s="198"/>
      <c r="E315" s="195">
        <v>700</v>
      </c>
      <c r="F315" s="773">
        <f t="shared" ref="F315:F316" si="36">+D315*E315</f>
        <v>0</v>
      </c>
      <c r="G315" s="774"/>
    </row>
    <row r="316" spans="2:7" ht="18" customHeight="1">
      <c r="B316" s="182" t="s">
        <v>204</v>
      </c>
      <c r="C316" s="67" t="s">
        <v>12</v>
      </c>
      <c r="D316" s="198"/>
      <c r="E316" s="195">
        <v>3000</v>
      </c>
      <c r="F316" s="773">
        <f t="shared" si="36"/>
        <v>0</v>
      </c>
      <c r="G316" s="774"/>
    </row>
    <row r="317" spans="2:7" ht="18" customHeight="1">
      <c r="B317" s="182" t="s">
        <v>35</v>
      </c>
      <c r="C317" s="67" t="s">
        <v>37</v>
      </c>
      <c r="D317" s="192"/>
      <c r="E317" s="195">
        <f>+'PRIX MATX'!G5</f>
        <v>7800</v>
      </c>
      <c r="F317" s="773">
        <f t="shared" si="34"/>
        <v>0</v>
      </c>
      <c r="G317" s="774"/>
    </row>
    <row r="318" spans="2:7" ht="18" customHeight="1">
      <c r="B318" s="182" t="s">
        <v>36</v>
      </c>
      <c r="C318" s="67" t="s">
        <v>37</v>
      </c>
      <c r="D318" s="192"/>
      <c r="E318" s="195">
        <f>+'PRIX MATX'!G6</f>
        <v>11600</v>
      </c>
      <c r="F318" s="773">
        <f t="shared" si="34"/>
        <v>0</v>
      </c>
      <c r="G318" s="774"/>
    </row>
    <row r="319" spans="2:7" ht="18" customHeight="1">
      <c r="B319" s="182" t="s">
        <v>46</v>
      </c>
      <c r="C319" s="67" t="s">
        <v>37</v>
      </c>
      <c r="D319" s="192"/>
      <c r="E319" s="195">
        <f>+'PRIX MATX'!G7</f>
        <v>17600</v>
      </c>
      <c r="F319" s="773">
        <f t="shared" si="34"/>
        <v>0</v>
      </c>
      <c r="G319" s="774"/>
    </row>
    <row r="320" spans="2:7" ht="18" customHeight="1">
      <c r="B320" s="182" t="s">
        <v>47</v>
      </c>
      <c r="C320" s="67" t="s">
        <v>37</v>
      </c>
      <c r="D320" s="192"/>
      <c r="E320" s="195">
        <f>+'PRIX MATX'!G8</f>
        <v>25300</v>
      </c>
      <c r="F320" s="773">
        <f t="shared" si="34"/>
        <v>0</v>
      </c>
      <c r="G320" s="774"/>
    </row>
    <row r="321" spans="2:9" ht="18" customHeight="1">
      <c r="B321" s="182" t="s">
        <v>45</v>
      </c>
      <c r="C321" s="67" t="s">
        <v>8</v>
      </c>
      <c r="D321" s="192"/>
      <c r="E321" s="195">
        <f>+'PRIX MATX'!G9</f>
        <v>4000</v>
      </c>
      <c r="F321" s="773">
        <f t="shared" si="34"/>
        <v>0</v>
      </c>
      <c r="G321" s="774"/>
    </row>
    <row r="322" spans="2:9" ht="18" customHeight="1">
      <c r="B322" s="182" t="s">
        <v>115</v>
      </c>
      <c r="C322" s="67" t="s">
        <v>12</v>
      </c>
      <c r="D322" s="190"/>
      <c r="E322" s="195">
        <f>+'PRIX MATX'!K12</f>
        <v>35000</v>
      </c>
      <c r="F322" s="773">
        <f t="shared" si="34"/>
        <v>0</v>
      </c>
      <c r="G322" s="774"/>
    </row>
    <row r="323" spans="2:9" ht="18" customHeight="1">
      <c r="B323" s="183" t="s">
        <v>58</v>
      </c>
      <c r="C323" s="67" t="s">
        <v>12</v>
      </c>
      <c r="D323" s="192"/>
      <c r="E323" s="195">
        <f>+'PRIX MATX'!K6</f>
        <v>4000</v>
      </c>
      <c r="F323" s="773">
        <f t="shared" si="34"/>
        <v>0</v>
      </c>
      <c r="G323" s="774"/>
    </row>
    <row r="324" spans="2:9" ht="18" customHeight="1">
      <c r="B324" s="183" t="s">
        <v>62</v>
      </c>
      <c r="C324" s="67" t="s">
        <v>12</v>
      </c>
      <c r="D324" s="192"/>
      <c r="E324" s="195">
        <f>+'PRIX MATX'!K8</f>
        <v>4000</v>
      </c>
      <c r="F324" s="773">
        <f t="shared" si="34"/>
        <v>0</v>
      </c>
      <c r="G324" s="774"/>
    </row>
    <row r="325" spans="2:9" ht="18" customHeight="1">
      <c r="B325" s="182" t="s">
        <v>182</v>
      </c>
      <c r="C325" s="67" t="s">
        <v>12</v>
      </c>
      <c r="D325" s="193"/>
      <c r="E325" s="196">
        <f>+'PRIX MATX'!K9</f>
        <v>6000</v>
      </c>
      <c r="F325" s="773">
        <f t="shared" si="34"/>
        <v>0</v>
      </c>
      <c r="G325" s="774"/>
    </row>
    <row r="326" spans="2:9" ht="18" customHeight="1">
      <c r="B326" s="39" t="s">
        <v>134</v>
      </c>
      <c r="C326" s="67"/>
      <c r="D326" s="193"/>
      <c r="E326" s="196">
        <f>+'PRIX MATX'!K15</f>
        <v>8500</v>
      </c>
      <c r="F326" s="773">
        <f t="shared" si="34"/>
        <v>0</v>
      </c>
      <c r="G326" s="774"/>
    </row>
    <row r="327" spans="2:9" ht="18" customHeight="1">
      <c r="B327" s="183" t="s">
        <v>96</v>
      </c>
      <c r="C327" s="67" t="s">
        <v>12</v>
      </c>
      <c r="D327" s="192"/>
      <c r="E327" s="195">
        <f>+'PRIX MATX'!K10</f>
        <v>3500</v>
      </c>
      <c r="F327" s="773">
        <f t="shared" si="34"/>
        <v>0</v>
      </c>
      <c r="G327" s="774"/>
    </row>
    <row r="328" spans="2:9" ht="18" customHeight="1">
      <c r="B328" s="145" t="s">
        <v>184</v>
      </c>
      <c r="C328" s="67" t="s">
        <v>51</v>
      </c>
      <c r="D328" s="192"/>
      <c r="E328" s="195">
        <v>81750</v>
      </c>
      <c r="F328" s="773">
        <f t="shared" ref="F328" si="37">+D328*E328</f>
        <v>0</v>
      </c>
      <c r="G328" s="774"/>
    </row>
    <row r="329" spans="2:9" ht="18" customHeight="1">
      <c r="B329" s="42" t="s">
        <v>105</v>
      </c>
      <c r="C329" s="67" t="s">
        <v>12</v>
      </c>
      <c r="D329" s="192"/>
      <c r="E329" s="195">
        <f>+'PRIX MATX'!O19</f>
        <v>500</v>
      </c>
      <c r="F329" s="773">
        <f t="shared" si="34"/>
        <v>0</v>
      </c>
      <c r="G329" s="774"/>
    </row>
    <row r="330" spans="2:9" ht="18" customHeight="1">
      <c r="B330" s="145" t="s">
        <v>80</v>
      </c>
      <c r="C330" s="67" t="s">
        <v>12</v>
      </c>
      <c r="D330" s="192"/>
      <c r="E330" s="195">
        <f>+'PRIX MATX'!O22</f>
        <v>10000</v>
      </c>
      <c r="F330" s="773">
        <f t="shared" si="34"/>
        <v>0</v>
      </c>
      <c r="G330" s="774"/>
      <c r="I330" s="6"/>
    </row>
    <row r="331" spans="2:9" ht="18" customHeight="1">
      <c r="B331" s="145" t="s">
        <v>137</v>
      </c>
      <c r="C331" s="67" t="s">
        <v>12</v>
      </c>
      <c r="D331" s="192"/>
      <c r="E331" s="195">
        <f>+'PRIX MATX'!K7</f>
        <v>8000</v>
      </c>
      <c r="F331" s="773">
        <f t="shared" si="34"/>
        <v>0</v>
      </c>
      <c r="G331" s="774"/>
    </row>
    <row r="332" spans="2:9" ht="18" customHeight="1">
      <c r="B332" s="145" t="s">
        <v>112</v>
      </c>
      <c r="C332" s="27" t="s">
        <v>98</v>
      </c>
      <c r="D332" s="192"/>
      <c r="E332" s="195">
        <f>+'PRIX MATX'!K13</f>
        <v>45000</v>
      </c>
      <c r="F332" s="773">
        <f t="shared" si="34"/>
        <v>0</v>
      </c>
      <c r="G332" s="774"/>
    </row>
    <row r="333" spans="2:9" ht="18" customHeight="1">
      <c r="B333" s="182" t="s">
        <v>113</v>
      </c>
      <c r="C333" s="67" t="s">
        <v>183</v>
      </c>
      <c r="D333" s="192"/>
      <c r="E333" s="195">
        <f>+'PRIX MATX'!K14</f>
        <v>15000</v>
      </c>
      <c r="F333" s="773">
        <f t="shared" si="34"/>
        <v>0</v>
      </c>
      <c r="G333" s="774"/>
    </row>
    <row r="334" spans="2:9" ht="18" customHeight="1">
      <c r="B334" s="145" t="s">
        <v>138</v>
      </c>
      <c r="C334" s="67" t="s">
        <v>12</v>
      </c>
      <c r="D334" s="192"/>
      <c r="E334" s="195">
        <f>+'PRIX MATX'!G23</f>
        <v>25000</v>
      </c>
      <c r="F334" s="773">
        <f t="shared" si="34"/>
        <v>0</v>
      </c>
      <c r="G334" s="774"/>
    </row>
    <row r="335" spans="2:9" ht="18" customHeight="1">
      <c r="B335" s="145" t="s">
        <v>99</v>
      </c>
      <c r="C335" s="67" t="s">
        <v>12</v>
      </c>
      <c r="D335" s="192"/>
      <c r="E335" s="195">
        <f>+'PRIX MATX'!G24</f>
        <v>700</v>
      </c>
      <c r="F335" s="773">
        <f t="shared" si="34"/>
        <v>0</v>
      </c>
      <c r="G335" s="774"/>
    </row>
    <row r="336" spans="2:9" ht="18" customHeight="1">
      <c r="B336" s="145" t="s">
        <v>139</v>
      </c>
      <c r="C336" s="67" t="s">
        <v>12</v>
      </c>
      <c r="D336" s="192"/>
      <c r="E336" s="195">
        <f>+'PRIX MATX'!G17</f>
        <v>25000</v>
      </c>
      <c r="F336" s="773">
        <f t="shared" si="34"/>
        <v>0</v>
      </c>
      <c r="G336" s="774"/>
    </row>
    <row r="337" spans="1:10" ht="18" customHeight="1">
      <c r="B337" s="145" t="s">
        <v>108</v>
      </c>
      <c r="C337" s="67" t="s">
        <v>12</v>
      </c>
      <c r="D337" s="192"/>
      <c r="E337" s="195">
        <f>'PRIX MATX'!G25</f>
        <v>5000</v>
      </c>
      <c r="F337" s="773">
        <f t="shared" si="34"/>
        <v>0</v>
      </c>
      <c r="G337" s="774"/>
    </row>
    <row r="338" spans="1:10" ht="18" customHeight="1">
      <c r="B338" s="145" t="s">
        <v>109</v>
      </c>
      <c r="C338" s="67" t="s">
        <v>110</v>
      </c>
      <c r="D338" s="192"/>
      <c r="E338" s="195">
        <f>'PRIX MATX'!G26</f>
        <v>7000</v>
      </c>
      <c r="F338" s="773">
        <f t="shared" si="34"/>
        <v>0</v>
      </c>
      <c r="G338" s="774"/>
    </row>
    <row r="339" spans="1:10" ht="18" customHeight="1">
      <c r="B339" s="42" t="s">
        <v>100</v>
      </c>
      <c r="C339" s="23" t="s">
        <v>12</v>
      </c>
      <c r="D339" s="192"/>
      <c r="E339" s="195">
        <f>'PRIX MATX'!G20</f>
        <v>600</v>
      </c>
      <c r="F339" s="773">
        <f t="shared" si="34"/>
        <v>0</v>
      </c>
      <c r="G339" s="774"/>
    </row>
    <row r="340" spans="1:10" ht="18" customHeight="1">
      <c r="B340" s="101" t="s">
        <v>87</v>
      </c>
      <c r="C340" s="27" t="s">
        <v>23</v>
      </c>
      <c r="D340" s="192"/>
      <c r="E340" s="195">
        <f>+'PRIX MATX'!O5</f>
        <v>14000</v>
      </c>
      <c r="F340" s="773">
        <f t="shared" si="34"/>
        <v>0</v>
      </c>
      <c r="G340" s="774"/>
    </row>
    <row r="341" spans="1:10" ht="18" customHeight="1">
      <c r="B341" s="184" t="s">
        <v>328</v>
      </c>
      <c r="C341" s="67" t="s">
        <v>150</v>
      </c>
      <c r="D341" s="192"/>
      <c r="E341" s="195"/>
      <c r="F341" s="773">
        <f t="shared" si="34"/>
        <v>0</v>
      </c>
      <c r="G341" s="774"/>
    </row>
    <row r="342" spans="1:10" ht="18" customHeight="1">
      <c r="B342" s="184" t="s">
        <v>329</v>
      </c>
      <c r="C342" s="67" t="s">
        <v>150</v>
      </c>
      <c r="D342" s="192"/>
      <c r="E342" s="195"/>
      <c r="F342" s="773">
        <f t="shared" si="34"/>
        <v>0</v>
      </c>
      <c r="G342" s="774"/>
    </row>
    <row r="343" spans="1:10" s="132" customFormat="1" ht="18" customHeight="1">
      <c r="A343" s="3"/>
      <c r="B343" s="197" t="s">
        <v>24</v>
      </c>
      <c r="C343" s="67" t="s">
        <v>8</v>
      </c>
      <c r="D343" s="192"/>
      <c r="E343" s="195">
        <f>+'PRIX MATX'!O6</f>
        <v>15000</v>
      </c>
      <c r="F343" s="773">
        <f t="shared" si="34"/>
        <v>0</v>
      </c>
      <c r="G343" s="774"/>
      <c r="H343" s="133"/>
      <c r="I343" s="133"/>
      <c r="J343" s="188"/>
    </row>
    <row r="344" spans="1:10" ht="18" customHeight="1">
      <c r="B344" s="186" t="s">
        <v>89</v>
      </c>
      <c r="C344" s="67" t="s">
        <v>116</v>
      </c>
      <c r="D344" s="192"/>
      <c r="E344" s="195">
        <f>+'PRIX MATX'!O9</f>
        <v>5000</v>
      </c>
      <c r="F344" s="773">
        <f t="shared" si="34"/>
        <v>0</v>
      </c>
      <c r="G344" s="774"/>
    </row>
    <row r="345" spans="1:10" ht="18" customHeight="1">
      <c r="B345" s="184" t="s">
        <v>185</v>
      </c>
      <c r="C345" s="67" t="s">
        <v>12</v>
      </c>
      <c r="D345" s="192"/>
      <c r="E345" s="195">
        <f>+'PRIX MATX'!O11</f>
        <v>5000</v>
      </c>
      <c r="F345" s="773">
        <f t="shared" si="34"/>
        <v>0</v>
      </c>
      <c r="G345" s="774"/>
    </row>
    <row r="346" spans="1:10" ht="18" customHeight="1">
      <c r="B346" s="184" t="s">
        <v>85</v>
      </c>
      <c r="C346" s="67" t="s">
        <v>12</v>
      </c>
      <c r="D346" s="192"/>
      <c r="E346" s="195">
        <f>+'PRIX MATX'!O13</f>
        <v>2500</v>
      </c>
      <c r="F346" s="773">
        <f t="shared" si="34"/>
        <v>0</v>
      </c>
      <c r="G346" s="774"/>
    </row>
    <row r="347" spans="1:10" ht="18" customHeight="1">
      <c r="B347" s="184" t="s">
        <v>86</v>
      </c>
      <c r="C347" s="67" t="s">
        <v>12</v>
      </c>
      <c r="D347" s="192"/>
      <c r="E347" s="195">
        <f>+'PRIX MATX'!O12</f>
        <v>3500</v>
      </c>
      <c r="F347" s="773">
        <f t="shared" si="34"/>
        <v>0</v>
      </c>
      <c r="G347" s="774"/>
    </row>
    <row r="348" spans="1:10" ht="18" customHeight="1">
      <c r="B348" s="101" t="s">
        <v>118</v>
      </c>
      <c r="C348" s="67" t="s">
        <v>1</v>
      </c>
      <c r="D348" s="192"/>
      <c r="E348" s="195">
        <f>'PRIX MATX'!K21</f>
        <v>20000</v>
      </c>
      <c r="F348" s="773">
        <f t="shared" si="34"/>
        <v>0</v>
      </c>
      <c r="G348" s="774"/>
    </row>
    <row r="349" spans="1:10" ht="18" customHeight="1">
      <c r="B349" s="101" t="s">
        <v>101</v>
      </c>
      <c r="C349" s="67" t="s">
        <v>98</v>
      </c>
      <c r="D349" s="192"/>
      <c r="E349" s="195">
        <v>12000</v>
      </c>
      <c r="F349" s="773">
        <f t="shared" si="34"/>
        <v>0</v>
      </c>
      <c r="G349" s="774"/>
    </row>
    <row r="350" spans="1:10" ht="18" customHeight="1">
      <c r="B350" s="101" t="s">
        <v>82</v>
      </c>
      <c r="C350" s="67" t="s">
        <v>83</v>
      </c>
      <c r="D350" s="192"/>
      <c r="E350" s="195">
        <v>2500</v>
      </c>
      <c r="F350" s="773">
        <f t="shared" si="34"/>
        <v>0</v>
      </c>
      <c r="G350" s="774"/>
    </row>
    <row r="351" spans="1:10" ht="18" customHeight="1">
      <c r="B351" s="185" t="s">
        <v>53</v>
      </c>
      <c r="C351" s="67" t="s">
        <v>8</v>
      </c>
      <c r="D351" s="192"/>
      <c r="E351" s="195">
        <f>'PRIX MATX'!O21</f>
        <v>5000</v>
      </c>
      <c r="F351" s="773">
        <f t="shared" si="34"/>
        <v>0</v>
      </c>
      <c r="G351" s="774"/>
    </row>
    <row r="352" spans="1:10" ht="18" customHeight="1">
      <c r="B352" s="145" t="s">
        <v>78</v>
      </c>
      <c r="C352" s="27" t="s">
        <v>8</v>
      </c>
      <c r="D352" s="192"/>
      <c r="E352" s="195">
        <f>'PRIX MATX'!O20</f>
        <v>4000</v>
      </c>
      <c r="F352" s="773">
        <f t="shared" si="34"/>
        <v>0</v>
      </c>
      <c r="G352" s="774"/>
    </row>
    <row r="353" spans="2:7" ht="18" customHeight="1">
      <c r="B353" s="185" t="s">
        <v>186</v>
      </c>
      <c r="C353" s="67" t="s">
        <v>8</v>
      </c>
      <c r="D353" s="192"/>
      <c r="E353" s="195">
        <f>E352</f>
        <v>4000</v>
      </c>
      <c r="F353" s="773">
        <f t="shared" si="34"/>
        <v>0</v>
      </c>
      <c r="G353" s="774"/>
    </row>
    <row r="354" spans="2:7" ht="18" customHeight="1">
      <c r="B354" s="185" t="s">
        <v>187</v>
      </c>
      <c r="C354" s="67" t="s">
        <v>8</v>
      </c>
      <c r="D354" s="190"/>
      <c r="E354" s="195">
        <f>E352</f>
        <v>4000</v>
      </c>
      <c r="F354" s="773">
        <f t="shared" si="34"/>
        <v>0</v>
      </c>
      <c r="G354" s="774"/>
    </row>
    <row r="355" spans="2:7" ht="18" customHeight="1">
      <c r="B355" s="185" t="s">
        <v>189</v>
      </c>
      <c r="C355" s="67" t="s">
        <v>8</v>
      </c>
      <c r="D355" s="190"/>
      <c r="E355" s="195">
        <f>E352</f>
        <v>4000</v>
      </c>
      <c r="F355" s="773">
        <f t="shared" si="34"/>
        <v>0</v>
      </c>
      <c r="G355" s="774"/>
    </row>
    <row r="356" spans="2:7" ht="18" customHeight="1">
      <c r="B356" s="185" t="s">
        <v>188</v>
      </c>
      <c r="C356" s="67" t="s">
        <v>8</v>
      </c>
      <c r="D356" s="190"/>
      <c r="E356" s="195">
        <f>E352</f>
        <v>4000</v>
      </c>
      <c r="F356" s="773">
        <f t="shared" si="34"/>
        <v>0</v>
      </c>
      <c r="G356" s="774"/>
    </row>
    <row r="357" spans="2:7" ht="22.5" customHeight="1">
      <c r="E357" s="194" t="s">
        <v>64</v>
      </c>
      <c r="F357" s="780">
        <f>SUM(F309:G356)</f>
        <v>0</v>
      </c>
      <c r="G357" s="781"/>
    </row>
    <row r="358" spans="2:7" ht="18" customHeight="1"/>
    <row r="359" spans="2:7" ht="18" customHeight="1"/>
    <row r="360" spans="2:7" ht="18" customHeight="1"/>
    <row r="361" spans="2:7" ht="18" customHeight="1"/>
  </sheetData>
  <mergeCells count="81">
    <mergeCell ref="A1:I1"/>
    <mergeCell ref="A2:I2"/>
    <mergeCell ref="A3:I3"/>
    <mergeCell ref="A143:B143"/>
    <mergeCell ref="F108:H108"/>
    <mergeCell ref="F142:H142"/>
    <mergeCell ref="A109:B109"/>
    <mergeCell ref="A17:D17"/>
    <mergeCell ref="A83:B83"/>
    <mergeCell ref="A47:D47"/>
    <mergeCell ref="F82:H82"/>
    <mergeCell ref="A93:B93"/>
    <mergeCell ref="F336:G336"/>
    <mergeCell ref="F337:G337"/>
    <mergeCell ref="F338:G338"/>
    <mergeCell ref="F339:G339"/>
    <mergeCell ref="F347:G347"/>
    <mergeCell ref="F355:G355"/>
    <mergeCell ref="F340:G340"/>
    <mergeCell ref="F341:G341"/>
    <mergeCell ref="F342:G342"/>
    <mergeCell ref="F343:G343"/>
    <mergeCell ref="F344:G344"/>
    <mergeCell ref="F356:G356"/>
    <mergeCell ref="F357:G357"/>
    <mergeCell ref="B305:G305"/>
    <mergeCell ref="F313:G313"/>
    <mergeCell ref="F314:G314"/>
    <mergeCell ref="F315:G315"/>
    <mergeCell ref="F316:G316"/>
    <mergeCell ref="F350:G350"/>
    <mergeCell ref="F351:G351"/>
    <mergeCell ref="F352:G352"/>
    <mergeCell ref="F353:G353"/>
    <mergeCell ref="F354:G354"/>
    <mergeCell ref="F345:G345"/>
    <mergeCell ref="F346:G346"/>
    <mergeCell ref="F348:G348"/>
    <mergeCell ref="F349:G349"/>
    <mergeCell ref="F335:G335"/>
    <mergeCell ref="F326:G326"/>
    <mergeCell ref="F327:G327"/>
    <mergeCell ref="F328:G328"/>
    <mergeCell ref="F329:G329"/>
    <mergeCell ref="F330:G330"/>
    <mergeCell ref="F331:G331"/>
    <mergeCell ref="F332:G332"/>
    <mergeCell ref="F333:G333"/>
    <mergeCell ref="F334:G334"/>
    <mergeCell ref="F321:G321"/>
    <mergeCell ref="F322:G322"/>
    <mergeCell ref="F323:G323"/>
    <mergeCell ref="F324:G324"/>
    <mergeCell ref="F325:G325"/>
    <mergeCell ref="F312:G312"/>
    <mergeCell ref="F317:G317"/>
    <mergeCell ref="F318:G318"/>
    <mergeCell ref="F319:G319"/>
    <mergeCell ref="F320:G320"/>
    <mergeCell ref="A255:B255"/>
    <mergeCell ref="F263:H263"/>
    <mergeCell ref="F311:G311"/>
    <mergeCell ref="F308:G308"/>
    <mergeCell ref="F309:G309"/>
    <mergeCell ref="F310:G310"/>
    <mergeCell ref="F264:H264"/>
    <mergeCell ref="A157:B157"/>
    <mergeCell ref="E157:F157"/>
    <mergeCell ref="A167:B167"/>
    <mergeCell ref="A198:B198"/>
    <mergeCell ref="A213:B213"/>
    <mergeCell ref="F166:H166"/>
    <mergeCell ref="F197:H197"/>
    <mergeCell ref="F212:H212"/>
    <mergeCell ref="F254:H254"/>
    <mergeCell ref="F9:H9"/>
    <mergeCell ref="F16:H16"/>
    <mergeCell ref="F46:H46"/>
    <mergeCell ref="F92:H92"/>
    <mergeCell ref="E143:F143"/>
    <mergeCell ref="F156:H156"/>
  </mergeCells>
  <pageMargins left="0.61" right="0.56999999999999995" top="0.28000000000000003" bottom="0.32" header="0.31496062992125984" footer="0.31496062992125984"/>
  <pageSetup paperSize="9" scale="90"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48"/>
  <sheetViews>
    <sheetView topLeftCell="A28" workbookViewId="0">
      <selection activeCell="L34" sqref="L34"/>
    </sheetView>
  </sheetViews>
  <sheetFormatPr baseColWidth="10" defaultRowHeight="12.75"/>
  <cols>
    <col min="1" max="1" width="16.140625" customWidth="1"/>
    <col min="2" max="2" width="11.5703125" style="345" customWidth="1"/>
    <col min="3" max="3" width="11.5703125" style="213" customWidth="1"/>
    <col min="4" max="12" width="11.5703125" customWidth="1"/>
    <col min="14" max="14" width="11.42578125" style="332"/>
  </cols>
  <sheetData>
    <row r="1" spans="1:14" ht="21" customHeight="1">
      <c r="A1" s="819" t="s">
        <v>481</v>
      </c>
      <c r="B1" s="819"/>
      <c r="C1" s="507"/>
    </row>
    <row r="2" spans="1:14" ht="18" customHeight="1">
      <c r="A2" s="820"/>
      <c r="B2" s="820"/>
      <c r="K2" s="467"/>
    </row>
    <row r="3" spans="1:14" ht="17.25" customHeight="1">
      <c r="A3" s="442" t="s">
        <v>457</v>
      </c>
      <c r="B3" s="70">
        <v>4.03</v>
      </c>
      <c r="C3" s="70">
        <v>1.81</v>
      </c>
      <c r="D3" s="70">
        <v>3.01</v>
      </c>
      <c r="E3" s="70">
        <v>2.5299999999999998</v>
      </c>
      <c r="F3" s="70">
        <v>2.33</v>
      </c>
      <c r="G3" s="70">
        <v>3.75</v>
      </c>
      <c r="H3" s="70">
        <v>3.53</v>
      </c>
      <c r="I3" s="70">
        <v>1.23</v>
      </c>
      <c r="J3" s="449"/>
      <c r="K3" s="449"/>
      <c r="L3" s="449"/>
    </row>
    <row r="4" spans="1:14" ht="17.25" customHeight="1">
      <c r="A4" s="442" t="s">
        <v>478</v>
      </c>
      <c r="B4" s="506">
        <v>0.05</v>
      </c>
      <c r="C4" s="506">
        <v>0.05</v>
      </c>
      <c r="D4" s="506">
        <v>0.05</v>
      </c>
      <c r="E4" s="506">
        <v>0.05</v>
      </c>
      <c r="F4" s="506">
        <v>0.05</v>
      </c>
      <c r="G4" s="506">
        <v>0.05</v>
      </c>
      <c r="H4" s="506">
        <v>0.05</v>
      </c>
      <c r="I4" s="506">
        <v>0.05</v>
      </c>
      <c r="J4" s="449"/>
      <c r="K4" s="449"/>
      <c r="L4" s="449"/>
    </row>
    <row r="5" spans="1:14" ht="17.25" customHeight="1">
      <c r="A5" s="442" t="s">
        <v>479</v>
      </c>
      <c r="B5" s="506">
        <v>0.2</v>
      </c>
      <c r="C5" s="506">
        <v>0.2</v>
      </c>
      <c r="D5" s="506">
        <v>0.2</v>
      </c>
      <c r="E5" s="506">
        <v>0.2</v>
      </c>
      <c r="F5" s="506">
        <v>0.2</v>
      </c>
      <c r="G5" s="506">
        <v>0.2</v>
      </c>
      <c r="H5" s="506">
        <v>0.2</v>
      </c>
      <c r="I5" s="506">
        <v>0.2</v>
      </c>
      <c r="J5" s="449"/>
      <c r="K5" s="449"/>
      <c r="L5" s="449"/>
    </row>
    <row r="6" spans="1:14" s="441" customFormat="1" ht="17.25" customHeight="1">
      <c r="A6" s="444" t="s">
        <v>434</v>
      </c>
      <c r="B6" s="453">
        <f>+B3*B4*B5</f>
        <v>4.0300000000000002E-2</v>
      </c>
      <c r="C6" s="453">
        <f t="shared" ref="C6" si="0">+C3*C4*C5</f>
        <v>1.8100000000000002E-2</v>
      </c>
      <c r="D6" s="453">
        <f t="shared" ref="D6" si="1">+D3*D4*D5</f>
        <v>3.0100000000000002E-2</v>
      </c>
      <c r="E6" s="453">
        <f t="shared" ref="E6" si="2">+E3*E4*E5</f>
        <v>2.5300000000000003E-2</v>
      </c>
      <c r="F6" s="453">
        <f t="shared" ref="F6" si="3">+F3*F4*F5</f>
        <v>2.3300000000000001E-2</v>
      </c>
      <c r="G6" s="453">
        <f t="shared" ref="G6" si="4">+G3*G4*G5</f>
        <v>3.7500000000000006E-2</v>
      </c>
      <c r="H6" s="453">
        <f t="shared" ref="H6" si="5">+H3*H4*H5</f>
        <v>3.5299999999999998E-2</v>
      </c>
      <c r="I6" s="453">
        <f t="shared" ref="I6" si="6">+I3*I4*I5</f>
        <v>1.23E-2</v>
      </c>
      <c r="J6" s="498"/>
      <c r="K6" s="469"/>
      <c r="L6" s="469"/>
      <c r="N6" s="551"/>
    </row>
    <row r="7" spans="1:14" s="441" customFormat="1" ht="17.25" customHeight="1">
      <c r="A7" s="442" t="s">
        <v>435</v>
      </c>
      <c r="B7" s="451">
        <v>4</v>
      </c>
      <c r="C7" s="451">
        <v>4</v>
      </c>
      <c r="D7" s="451">
        <v>4</v>
      </c>
      <c r="E7" s="451">
        <v>4</v>
      </c>
      <c r="F7" s="451">
        <v>4</v>
      </c>
      <c r="G7" s="451">
        <v>4</v>
      </c>
      <c r="H7" s="452">
        <v>16</v>
      </c>
      <c r="I7" s="452">
        <v>6</v>
      </c>
      <c r="J7" s="497"/>
      <c r="K7" s="468"/>
      <c r="L7" s="468"/>
      <c r="N7" s="551"/>
    </row>
    <row r="8" spans="1:14" s="441" customFormat="1" ht="17.25" customHeight="1">
      <c r="A8" s="508" t="s">
        <v>446</v>
      </c>
      <c r="B8" s="455">
        <f>+B6*B7</f>
        <v>0.16120000000000001</v>
      </c>
      <c r="C8" s="455">
        <f t="shared" ref="C8" si="7">+C6*C7</f>
        <v>7.2400000000000006E-2</v>
      </c>
      <c r="D8" s="455">
        <f t="shared" ref="D8" si="8">+D6*D7</f>
        <v>0.12040000000000001</v>
      </c>
      <c r="E8" s="455">
        <f t="shared" ref="E8" si="9">+E6*E7</f>
        <v>0.10120000000000001</v>
      </c>
      <c r="F8" s="455">
        <f t="shared" ref="F8" si="10">+F6*F7</f>
        <v>9.3200000000000005E-2</v>
      </c>
      <c r="G8" s="455">
        <f t="shared" ref="G8" si="11">+G6*G7</f>
        <v>0.15000000000000002</v>
      </c>
      <c r="H8" s="455">
        <f t="shared" ref="H8" si="12">+H6*H7</f>
        <v>0.56479999999999997</v>
      </c>
      <c r="I8" s="455">
        <f t="shared" ref="I8" si="13">+I6*I7</f>
        <v>7.3800000000000004E-2</v>
      </c>
      <c r="J8" s="499">
        <f>SUM(B8:I8)</f>
        <v>1.337</v>
      </c>
      <c r="K8" s="493" t="s">
        <v>2</v>
      </c>
      <c r="L8" s="470"/>
      <c r="M8" s="466"/>
      <c r="N8" s="551"/>
    </row>
    <row r="12" spans="1:14" ht="21" customHeight="1">
      <c r="A12" s="819" t="s">
        <v>480</v>
      </c>
      <c r="B12" s="819"/>
      <c r="C12" s="507"/>
    </row>
    <row r="13" spans="1:14" ht="18" customHeight="1">
      <c r="A13" s="820"/>
      <c r="B13" s="820"/>
      <c r="K13" s="467"/>
    </row>
    <row r="14" spans="1:14" ht="17.25" customHeight="1">
      <c r="A14" s="442" t="s">
        <v>457</v>
      </c>
      <c r="B14" s="70">
        <v>4.03</v>
      </c>
      <c r="C14" s="70">
        <v>1.81</v>
      </c>
      <c r="D14" s="70">
        <v>3.01</v>
      </c>
      <c r="E14" s="70">
        <v>2.5299999999999998</v>
      </c>
      <c r="F14" s="70">
        <v>2.33</v>
      </c>
      <c r="G14" s="70">
        <v>3.75</v>
      </c>
      <c r="H14" s="70">
        <v>3.53</v>
      </c>
      <c r="I14" s="70">
        <v>1.23</v>
      </c>
      <c r="J14" s="449"/>
      <c r="K14" s="449"/>
      <c r="L14" s="449"/>
    </row>
    <row r="15" spans="1:14" ht="17.25" customHeight="1">
      <c r="A15" s="442" t="s">
        <v>478</v>
      </c>
      <c r="B15" s="506">
        <v>0.4</v>
      </c>
      <c r="C15" s="506">
        <v>0.4</v>
      </c>
      <c r="D15" s="506">
        <v>0.4</v>
      </c>
      <c r="E15" s="506">
        <v>0.4</v>
      </c>
      <c r="F15" s="506">
        <v>0.4</v>
      </c>
      <c r="G15" s="506">
        <v>0.4</v>
      </c>
      <c r="H15" s="506">
        <v>0.4</v>
      </c>
      <c r="I15" s="506">
        <v>0.4</v>
      </c>
      <c r="J15" s="449"/>
      <c r="K15" s="449"/>
      <c r="L15" s="449"/>
    </row>
    <row r="16" spans="1:14" ht="17.25" customHeight="1">
      <c r="A16" s="442" t="s">
        <v>479</v>
      </c>
      <c r="B16" s="506">
        <v>0.2</v>
      </c>
      <c r="C16" s="506">
        <v>0.2</v>
      </c>
      <c r="D16" s="506">
        <v>0.2</v>
      </c>
      <c r="E16" s="506">
        <v>0.2</v>
      </c>
      <c r="F16" s="506">
        <v>0.2</v>
      </c>
      <c r="G16" s="506">
        <v>0.2</v>
      </c>
      <c r="H16" s="506">
        <v>0.2</v>
      </c>
      <c r="I16" s="506">
        <v>0.2</v>
      </c>
      <c r="J16" s="449"/>
      <c r="K16" s="449"/>
      <c r="L16" s="449"/>
    </row>
    <row r="17" spans="1:16" s="441" customFormat="1" ht="17.25" customHeight="1">
      <c r="A17" s="444" t="s">
        <v>434</v>
      </c>
      <c r="B17" s="453">
        <f>+B14*B15*B16</f>
        <v>0.32240000000000002</v>
      </c>
      <c r="C17" s="453">
        <f t="shared" ref="C17:I17" si="14">+C14*C15*C16</f>
        <v>0.14480000000000001</v>
      </c>
      <c r="D17" s="453">
        <f t="shared" si="14"/>
        <v>0.24080000000000001</v>
      </c>
      <c r="E17" s="453">
        <f t="shared" si="14"/>
        <v>0.20240000000000002</v>
      </c>
      <c r="F17" s="453">
        <f t="shared" si="14"/>
        <v>0.18640000000000001</v>
      </c>
      <c r="G17" s="453">
        <f t="shared" si="14"/>
        <v>0.30000000000000004</v>
      </c>
      <c r="H17" s="453">
        <f t="shared" si="14"/>
        <v>0.28239999999999998</v>
      </c>
      <c r="I17" s="453">
        <f t="shared" si="14"/>
        <v>9.8400000000000001E-2</v>
      </c>
      <c r="J17" s="498"/>
      <c r="K17" s="469"/>
      <c r="L17" s="469"/>
      <c r="N17" s="551"/>
    </row>
    <row r="18" spans="1:16" s="441" customFormat="1" ht="17.25" customHeight="1">
      <c r="A18" s="442" t="s">
        <v>435</v>
      </c>
      <c r="B18" s="451">
        <v>4</v>
      </c>
      <c r="C18" s="451">
        <v>4</v>
      </c>
      <c r="D18" s="451">
        <v>4</v>
      </c>
      <c r="E18" s="451">
        <v>4</v>
      </c>
      <c r="F18" s="451">
        <v>4</v>
      </c>
      <c r="G18" s="451">
        <v>4</v>
      </c>
      <c r="H18" s="452">
        <v>16</v>
      </c>
      <c r="I18" s="452">
        <v>6</v>
      </c>
      <c r="J18" s="497"/>
      <c r="K18" s="468"/>
      <c r="L18" s="468"/>
      <c r="N18" s="551"/>
    </row>
    <row r="19" spans="1:16" s="441" customFormat="1" ht="17.25" customHeight="1">
      <c r="A19" s="508" t="s">
        <v>446</v>
      </c>
      <c r="B19" s="455">
        <f>+B17*B18</f>
        <v>1.2896000000000001</v>
      </c>
      <c r="C19" s="455">
        <f t="shared" ref="C19:I19" si="15">+C17*C18</f>
        <v>0.57920000000000005</v>
      </c>
      <c r="D19" s="455">
        <f t="shared" si="15"/>
        <v>0.96320000000000006</v>
      </c>
      <c r="E19" s="455">
        <f t="shared" si="15"/>
        <v>0.8096000000000001</v>
      </c>
      <c r="F19" s="455">
        <f t="shared" si="15"/>
        <v>0.74560000000000004</v>
      </c>
      <c r="G19" s="455">
        <f t="shared" si="15"/>
        <v>1.2000000000000002</v>
      </c>
      <c r="H19" s="455">
        <f t="shared" si="15"/>
        <v>4.5183999999999997</v>
      </c>
      <c r="I19" s="455">
        <f t="shared" si="15"/>
        <v>0.59040000000000004</v>
      </c>
      <c r="J19" s="499">
        <f>SUM(B19:I19)</f>
        <v>10.696</v>
      </c>
      <c r="K19" s="493" t="s">
        <v>2</v>
      </c>
      <c r="L19" s="470"/>
      <c r="M19" s="466"/>
      <c r="N19" s="551"/>
    </row>
    <row r="20" spans="1:16" ht="18" customHeight="1">
      <c r="K20" s="467"/>
    </row>
    <row r="22" spans="1:16" ht="21" customHeight="1">
      <c r="A22" s="819" t="s">
        <v>402</v>
      </c>
      <c r="B22" s="819"/>
    </row>
    <row r="23" spans="1:16" ht="21" customHeight="1">
      <c r="A23" s="421"/>
      <c r="B23" s="421"/>
    </row>
    <row r="24" spans="1:16" s="113" customFormat="1" ht="21" customHeight="1">
      <c r="A24" s="509" t="s">
        <v>385</v>
      </c>
      <c r="B24" s="509"/>
      <c r="C24" s="510" t="s">
        <v>386</v>
      </c>
      <c r="D24" s="509" t="s">
        <v>387</v>
      </c>
      <c r="E24" s="510" t="s">
        <v>16</v>
      </c>
      <c r="I24" s="477"/>
      <c r="K24" s="511"/>
      <c r="L24" s="512"/>
      <c r="M24" s="513"/>
      <c r="N24" s="552"/>
    </row>
    <row r="25" spans="1:16" s="113" customFormat="1" ht="21" customHeight="1">
      <c r="A25" s="84">
        <v>1</v>
      </c>
      <c r="B25" s="514" t="s">
        <v>390</v>
      </c>
      <c r="C25" s="100">
        <v>11.7</v>
      </c>
      <c r="D25" s="84">
        <v>8</v>
      </c>
      <c r="E25" s="515">
        <f>+C25*D25</f>
        <v>93.6</v>
      </c>
      <c r="I25" s="505" t="s">
        <v>398</v>
      </c>
      <c r="J25" s="513"/>
      <c r="K25" s="516" t="s">
        <v>399</v>
      </c>
      <c r="L25" s="517">
        <v>0.1</v>
      </c>
      <c r="M25" s="505" t="s">
        <v>400</v>
      </c>
      <c r="N25" s="552"/>
    </row>
    <row r="26" spans="1:16" s="113" customFormat="1" ht="21" customHeight="1">
      <c r="A26" s="84" t="s">
        <v>388</v>
      </c>
      <c r="B26" s="514" t="s">
        <v>390</v>
      </c>
      <c r="C26" s="100">
        <v>9.34</v>
      </c>
      <c r="D26" s="84">
        <v>14</v>
      </c>
      <c r="E26" s="515">
        <f t="shared" ref="E26:E48" si="16">+C26*D26</f>
        <v>130.76</v>
      </c>
      <c r="G26" s="113" t="s">
        <v>394</v>
      </c>
      <c r="H26" s="481">
        <f>+E30+E31+E32+E33+E34+E35+E36+E38+E40+E42+E43+E45+E46+E47+E48</f>
        <v>925.22</v>
      </c>
      <c r="I26" s="477">
        <v>0.222</v>
      </c>
      <c r="J26" s="481">
        <f>H26*I26</f>
        <v>205.39884000000001</v>
      </c>
      <c r="K26" s="518">
        <f>+H26/11.7</f>
        <v>79.078632478632485</v>
      </c>
      <c r="L26" s="512">
        <f>+K26*1.1</f>
        <v>86.986495726495747</v>
      </c>
      <c r="M26" s="475">
        <v>87</v>
      </c>
      <c r="N26" s="553">
        <v>60.2</v>
      </c>
      <c r="O26" s="113">
        <v>15</v>
      </c>
      <c r="P26" s="113">
        <f>+M26+O26</f>
        <v>102</v>
      </c>
    </row>
    <row r="27" spans="1:16" s="113" customFormat="1" ht="21" customHeight="1">
      <c r="A27" s="84">
        <v>2</v>
      </c>
      <c r="B27" s="514" t="s">
        <v>390</v>
      </c>
      <c r="C27" s="100">
        <v>6.83</v>
      </c>
      <c r="D27" s="84">
        <v>8</v>
      </c>
      <c r="E27" s="515">
        <f t="shared" si="16"/>
        <v>54.64</v>
      </c>
      <c r="G27" s="113" t="s">
        <v>395</v>
      </c>
      <c r="H27" s="481">
        <f>+E28+E29</f>
        <v>40</v>
      </c>
      <c r="I27" s="477">
        <v>0.39500000000000002</v>
      </c>
      <c r="J27" s="481">
        <f t="shared" ref="J27:J29" si="17">H27*I27</f>
        <v>15.8</v>
      </c>
      <c r="K27" s="518">
        <f>+H27/11.7</f>
        <v>3.4188034188034191</v>
      </c>
      <c r="L27" s="512">
        <f>+K27*1.1</f>
        <v>3.7606837606837611</v>
      </c>
      <c r="M27" s="475">
        <v>4</v>
      </c>
      <c r="N27" s="553">
        <v>12</v>
      </c>
      <c r="P27" s="113">
        <f t="shared" ref="P27:P29" si="18">+M27+O27</f>
        <v>4</v>
      </c>
    </row>
    <row r="28" spans="1:16" s="113" customFormat="1" ht="21" customHeight="1">
      <c r="A28" s="84">
        <v>3</v>
      </c>
      <c r="B28" s="519" t="s">
        <v>391</v>
      </c>
      <c r="C28" s="100">
        <v>1</v>
      </c>
      <c r="D28" s="84">
        <v>16</v>
      </c>
      <c r="E28" s="520">
        <f t="shared" si="16"/>
        <v>16</v>
      </c>
      <c r="G28" s="113" t="s">
        <v>396</v>
      </c>
      <c r="H28" s="481">
        <f>+E37+E39+E41+E44</f>
        <v>125.84</v>
      </c>
      <c r="I28" s="477">
        <v>0.61699999999999999</v>
      </c>
      <c r="J28" s="481">
        <f t="shared" si="17"/>
        <v>77.643280000000004</v>
      </c>
      <c r="K28" s="518">
        <f>+H28/11.7</f>
        <v>10.755555555555556</v>
      </c>
      <c r="L28" s="512">
        <f>+K28*1.1</f>
        <v>11.831111111111113</v>
      </c>
      <c r="M28" s="475">
        <v>12</v>
      </c>
      <c r="N28" s="553">
        <v>11</v>
      </c>
      <c r="O28" s="113">
        <v>49</v>
      </c>
      <c r="P28" s="113">
        <f t="shared" si="18"/>
        <v>61</v>
      </c>
    </row>
    <row r="29" spans="1:16" s="113" customFormat="1" ht="21" customHeight="1">
      <c r="A29" s="84" t="s">
        <v>389</v>
      </c>
      <c r="B29" s="519" t="s">
        <v>391</v>
      </c>
      <c r="C29" s="100">
        <v>1</v>
      </c>
      <c r="D29" s="84">
        <v>24</v>
      </c>
      <c r="E29" s="520">
        <f t="shared" si="16"/>
        <v>24</v>
      </c>
      <c r="G29" s="113" t="s">
        <v>397</v>
      </c>
      <c r="H29" s="481">
        <f>+E25+E26+E27</f>
        <v>279</v>
      </c>
      <c r="I29" s="477">
        <v>0.88800000000000001</v>
      </c>
      <c r="J29" s="481">
        <f t="shared" si="17"/>
        <v>247.75200000000001</v>
      </c>
      <c r="K29" s="518">
        <f>+H29/11.7</f>
        <v>23.846153846153847</v>
      </c>
      <c r="L29" s="512">
        <f>+K29*1.1</f>
        <v>26.230769230769234</v>
      </c>
      <c r="M29" s="475">
        <v>27</v>
      </c>
      <c r="N29" s="553">
        <v>14</v>
      </c>
      <c r="O29" s="113">
        <v>23</v>
      </c>
      <c r="P29" s="113">
        <f t="shared" si="18"/>
        <v>50</v>
      </c>
    </row>
    <row r="30" spans="1:16" s="113" customFormat="1" ht="21" customHeight="1">
      <c r="A30" s="84">
        <v>4</v>
      </c>
      <c r="B30" s="521" t="s">
        <v>392</v>
      </c>
      <c r="C30" s="100">
        <v>1.06</v>
      </c>
      <c r="D30" s="84">
        <v>92</v>
      </c>
      <c r="E30" s="522">
        <f t="shared" si="16"/>
        <v>97.52000000000001</v>
      </c>
      <c r="G30" s="113" t="s">
        <v>495</v>
      </c>
      <c r="I30" s="477"/>
      <c r="K30" s="511"/>
      <c r="L30" s="512"/>
      <c r="M30" s="513"/>
      <c r="N30" s="553">
        <v>12</v>
      </c>
    </row>
    <row r="31" spans="1:16" s="113" customFormat="1" ht="21" customHeight="1">
      <c r="A31" s="84">
        <v>5</v>
      </c>
      <c r="B31" s="521" t="s">
        <v>392</v>
      </c>
      <c r="C31" s="100">
        <v>1.06</v>
      </c>
      <c r="D31" s="84">
        <v>64</v>
      </c>
      <c r="E31" s="522">
        <f t="shared" si="16"/>
        <v>67.84</v>
      </c>
      <c r="I31" s="477"/>
      <c r="J31" s="523">
        <f>SUM(J26:J30)</f>
        <v>546.59411999999998</v>
      </c>
      <c r="K31" s="524" t="s">
        <v>8</v>
      </c>
      <c r="L31" s="512"/>
      <c r="M31" s="513"/>
      <c r="N31" s="552"/>
    </row>
    <row r="32" spans="1:16" s="113" customFormat="1" ht="21" customHeight="1">
      <c r="A32" s="84">
        <v>6</v>
      </c>
      <c r="B32" s="521" t="s">
        <v>392</v>
      </c>
      <c r="C32" s="100">
        <v>1.06</v>
      </c>
      <c r="D32" s="84">
        <v>68</v>
      </c>
      <c r="E32" s="522">
        <f t="shared" si="16"/>
        <v>72.08</v>
      </c>
      <c r="I32" s="477"/>
      <c r="K32" s="511"/>
      <c r="L32" s="512"/>
      <c r="M32" s="513"/>
      <c r="N32" s="552"/>
    </row>
    <row r="33" spans="1:14" s="113" customFormat="1" ht="21" customHeight="1">
      <c r="A33" s="84">
        <v>7</v>
      </c>
      <c r="B33" s="521" t="s">
        <v>392</v>
      </c>
      <c r="C33" s="100">
        <v>1.06</v>
      </c>
      <c r="D33" s="84">
        <v>80</v>
      </c>
      <c r="E33" s="522">
        <f t="shared" si="16"/>
        <v>84.800000000000011</v>
      </c>
      <c r="I33" s="477"/>
      <c r="K33" s="511"/>
      <c r="L33" s="512"/>
      <c r="M33" s="513"/>
      <c r="N33" s="552"/>
    </row>
    <row r="34" spans="1:14" s="113" customFormat="1" ht="21" customHeight="1">
      <c r="A34" s="84">
        <v>8</v>
      </c>
      <c r="B34" s="521" t="s">
        <v>392</v>
      </c>
      <c r="C34" s="100">
        <v>1.06</v>
      </c>
      <c r="D34" s="84">
        <v>52</v>
      </c>
      <c r="E34" s="522">
        <f t="shared" si="16"/>
        <v>55.120000000000005</v>
      </c>
      <c r="I34" s="477"/>
      <c r="K34" s="511"/>
      <c r="L34" s="512"/>
      <c r="M34" s="513"/>
      <c r="N34" s="552"/>
    </row>
    <row r="35" spans="1:14" s="113" customFormat="1" ht="21" customHeight="1">
      <c r="A35" s="84">
        <v>9</v>
      </c>
      <c r="B35" s="521" t="s">
        <v>392</v>
      </c>
      <c r="C35" s="100">
        <v>1.06</v>
      </c>
      <c r="D35" s="84">
        <v>80</v>
      </c>
      <c r="E35" s="522">
        <f t="shared" si="16"/>
        <v>84.800000000000011</v>
      </c>
      <c r="I35" s="477"/>
      <c r="K35" s="511"/>
      <c r="L35" s="512"/>
      <c r="M35" s="513"/>
      <c r="N35" s="552"/>
    </row>
    <row r="36" spans="1:14" s="113" customFormat="1" ht="21" customHeight="1">
      <c r="A36" s="84">
        <v>10</v>
      </c>
      <c r="B36" s="521" t="s">
        <v>392</v>
      </c>
      <c r="C36" s="100">
        <v>2.0299999999999998</v>
      </c>
      <c r="D36" s="84">
        <v>8</v>
      </c>
      <c r="E36" s="522">
        <f t="shared" si="16"/>
        <v>16.239999999999998</v>
      </c>
      <c r="I36" s="477"/>
      <c r="K36" s="550"/>
      <c r="L36" s="512"/>
      <c r="M36" s="513"/>
      <c r="N36" s="552"/>
    </row>
    <row r="37" spans="1:14" s="113" customFormat="1" ht="21" customHeight="1">
      <c r="A37" s="84">
        <v>11</v>
      </c>
      <c r="B37" s="525" t="s">
        <v>393</v>
      </c>
      <c r="C37" s="100">
        <v>4.22</v>
      </c>
      <c r="D37" s="84">
        <v>8</v>
      </c>
      <c r="E37" s="526">
        <f t="shared" si="16"/>
        <v>33.76</v>
      </c>
      <c r="I37" s="477"/>
      <c r="K37" s="534"/>
      <c r="L37" s="512"/>
      <c r="M37" s="513"/>
      <c r="N37" s="552"/>
    </row>
    <row r="38" spans="1:14" s="113" customFormat="1" ht="21" customHeight="1">
      <c r="A38" s="84">
        <v>12</v>
      </c>
      <c r="B38" s="521" t="s">
        <v>392</v>
      </c>
      <c r="C38" s="100">
        <v>1.78</v>
      </c>
      <c r="D38" s="84">
        <v>8</v>
      </c>
      <c r="E38" s="522">
        <f t="shared" si="16"/>
        <v>14.24</v>
      </c>
      <c r="I38" s="477"/>
      <c r="K38" s="511"/>
      <c r="L38" s="512"/>
      <c r="M38" s="513"/>
      <c r="N38" s="552"/>
    </row>
    <row r="39" spans="1:14" s="113" customFormat="1" ht="21" customHeight="1">
      <c r="A39" s="84">
        <v>13</v>
      </c>
      <c r="B39" s="525" t="s">
        <v>393</v>
      </c>
      <c r="C39" s="100">
        <v>2.2200000000000002</v>
      </c>
      <c r="D39" s="84">
        <v>8</v>
      </c>
      <c r="E39" s="526">
        <f t="shared" si="16"/>
        <v>17.760000000000002</v>
      </c>
      <c r="I39" s="477"/>
      <c r="K39" s="511"/>
      <c r="L39" s="512"/>
      <c r="M39" s="513"/>
      <c r="N39" s="552"/>
    </row>
    <row r="40" spans="1:14" s="113" customFormat="1" ht="21" customHeight="1">
      <c r="A40" s="84">
        <v>14</v>
      </c>
      <c r="B40" s="521" t="s">
        <v>392</v>
      </c>
      <c r="C40" s="100">
        <v>1.3</v>
      </c>
      <c r="D40" s="84">
        <v>8</v>
      </c>
      <c r="E40" s="522">
        <f t="shared" si="16"/>
        <v>10.4</v>
      </c>
      <c r="I40" s="477"/>
      <c r="K40" s="511"/>
      <c r="L40" s="512"/>
      <c r="M40" s="513"/>
      <c r="N40" s="552"/>
    </row>
    <row r="41" spans="1:14" s="113" customFormat="1" ht="21" customHeight="1">
      <c r="A41" s="84">
        <v>15</v>
      </c>
      <c r="B41" s="525" t="s">
        <v>393</v>
      </c>
      <c r="C41" s="100">
        <v>4.74</v>
      </c>
      <c r="D41" s="84">
        <v>8</v>
      </c>
      <c r="E41" s="526">
        <f t="shared" si="16"/>
        <v>37.92</v>
      </c>
      <c r="I41" s="477"/>
      <c r="K41" s="511"/>
      <c r="L41" s="512"/>
      <c r="M41" s="513"/>
      <c r="N41" s="552"/>
    </row>
    <row r="42" spans="1:14" s="113" customFormat="1" ht="21" customHeight="1">
      <c r="A42" s="84">
        <v>16</v>
      </c>
      <c r="B42" s="521" t="s">
        <v>392</v>
      </c>
      <c r="C42" s="100">
        <v>2.75</v>
      </c>
      <c r="D42" s="84">
        <v>8</v>
      </c>
      <c r="E42" s="522">
        <f t="shared" si="16"/>
        <v>22</v>
      </c>
      <c r="I42" s="477"/>
      <c r="K42" s="511"/>
      <c r="L42" s="512"/>
      <c r="M42" s="513"/>
      <c r="N42" s="552"/>
    </row>
    <row r="43" spans="1:14" s="113" customFormat="1" ht="21" customHeight="1">
      <c r="A43" s="84">
        <v>17</v>
      </c>
      <c r="B43" s="521" t="s">
        <v>392</v>
      </c>
      <c r="C43" s="100">
        <v>2.5299999999999998</v>
      </c>
      <c r="D43" s="84">
        <v>12</v>
      </c>
      <c r="E43" s="522">
        <f t="shared" si="16"/>
        <v>30.36</v>
      </c>
      <c r="I43" s="477"/>
      <c r="K43" s="511"/>
      <c r="L43" s="512"/>
      <c r="M43" s="513"/>
      <c r="N43" s="552"/>
    </row>
    <row r="44" spans="1:14" s="113" customFormat="1" ht="21" customHeight="1">
      <c r="A44" s="84">
        <v>18</v>
      </c>
      <c r="B44" s="525" t="s">
        <v>393</v>
      </c>
      <c r="C44" s="100">
        <v>3.64</v>
      </c>
      <c r="D44" s="84">
        <v>10</v>
      </c>
      <c r="E44" s="526">
        <f t="shared" si="16"/>
        <v>36.4</v>
      </c>
      <c r="I44" s="477"/>
      <c r="K44" s="511"/>
      <c r="L44" s="512"/>
      <c r="M44" s="513"/>
      <c r="N44" s="552"/>
    </row>
    <row r="45" spans="1:14" s="113" customFormat="1" ht="21" customHeight="1">
      <c r="A45" s="84">
        <v>19</v>
      </c>
      <c r="B45" s="521" t="s">
        <v>392</v>
      </c>
      <c r="C45" s="100">
        <v>2.4900000000000002</v>
      </c>
      <c r="D45" s="84">
        <v>14</v>
      </c>
      <c r="E45" s="522">
        <f t="shared" si="16"/>
        <v>34.86</v>
      </c>
      <c r="I45" s="477"/>
      <c r="K45" s="511"/>
      <c r="L45" s="512"/>
      <c r="M45" s="513"/>
      <c r="N45" s="552"/>
    </row>
    <row r="46" spans="1:14" s="113" customFormat="1" ht="21" customHeight="1">
      <c r="A46" s="84">
        <v>20</v>
      </c>
      <c r="B46" s="521" t="s">
        <v>392</v>
      </c>
      <c r="C46" s="100">
        <v>1.06</v>
      </c>
      <c r="D46" s="84">
        <v>154</v>
      </c>
      <c r="E46" s="522">
        <f t="shared" si="16"/>
        <v>163.24</v>
      </c>
      <c r="I46" s="477"/>
      <c r="K46" s="511"/>
      <c r="L46" s="512"/>
      <c r="M46" s="513"/>
      <c r="N46" s="552"/>
    </row>
    <row r="47" spans="1:14" s="113" customFormat="1" ht="21" customHeight="1">
      <c r="A47" s="84">
        <v>21</v>
      </c>
      <c r="B47" s="521" t="s">
        <v>392</v>
      </c>
      <c r="C47" s="100">
        <v>1.06</v>
      </c>
      <c r="D47" s="84">
        <v>30</v>
      </c>
      <c r="E47" s="522">
        <f t="shared" si="16"/>
        <v>31.8</v>
      </c>
      <c r="I47" s="477"/>
      <c r="K47" s="511"/>
      <c r="L47" s="512"/>
      <c r="M47" s="513"/>
      <c r="N47" s="552"/>
    </row>
    <row r="48" spans="1:14" s="113" customFormat="1" ht="21" customHeight="1">
      <c r="A48" s="84">
        <v>22</v>
      </c>
      <c r="B48" s="521" t="s">
        <v>392</v>
      </c>
      <c r="C48" s="100">
        <v>1.06</v>
      </c>
      <c r="D48" s="84">
        <v>132</v>
      </c>
      <c r="E48" s="522">
        <f t="shared" si="16"/>
        <v>139.92000000000002</v>
      </c>
      <c r="I48" s="477"/>
      <c r="K48" s="511"/>
      <c r="L48" s="512"/>
      <c r="M48" s="513"/>
      <c r="N48" s="552"/>
    </row>
  </sheetData>
  <mergeCells count="5">
    <mergeCell ref="A22:B22"/>
    <mergeCell ref="A13:B13"/>
    <mergeCell ref="A12:B12"/>
    <mergeCell ref="A1:B1"/>
    <mergeCell ref="A2:B2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22"/>
  <sheetViews>
    <sheetView topLeftCell="A8" workbookViewId="0">
      <selection activeCell="G14" sqref="G14"/>
    </sheetView>
  </sheetViews>
  <sheetFormatPr baseColWidth="10" defaultRowHeight="12.75"/>
  <cols>
    <col min="1" max="1" width="11.28515625" customWidth="1"/>
    <col min="2" max="2" width="11.5703125" style="345" customWidth="1"/>
    <col min="3" max="3" width="11.5703125" style="213" customWidth="1"/>
    <col min="4" max="4" width="16.42578125" customWidth="1"/>
    <col min="5" max="14" width="11.5703125" customWidth="1"/>
  </cols>
  <sheetData>
    <row r="1" spans="1:18" ht="21" customHeight="1">
      <c r="A1" s="496" t="s">
        <v>471</v>
      </c>
      <c r="B1" s="529"/>
      <c r="C1" s="489"/>
    </row>
    <row r="2" spans="1:18" s="502" customFormat="1" ht="15">
      <c r="B2" s="345"/>
      <c r="C2" s="213"/>
      <c r="Q2" s="503">
        <v>112</v>
      </c>
      <c r="R2" s="504" t="s">
        <v>474</v>
      </c>
    </row>
    <row r="3" spans="1:18" ht="18" customHeight="1">
      <c r="A3" s="527" t="s">
        <v>482</v>
      </c>
      <c r="B3" s="527" t="s">
        <v>459</v>
      </c>
      <c r="C3" s="508" t="s">
        <v>457</v>
      </c>
      <c r="D3" s="508" t="s">
        <v>456</v>
      </c>
    </row>
    <row r="4" spans="1:18" ht="18" customHeight="1">
      <c r="A4" s="474" t="s">
        <v>470</v>
      </c>
      <c r="B4" s="84">
        <v>0</v>
      </c>
      <c r="C4" s="100">
        <v>0.84</v>
      </c>
      <c r="D4" s="528">
        <f>+B4*C4</f>
        <v>0</v>
      </c>
    </row>
    <row r="5" spans="1:18" ht="18" customHeight="1">
      <c r="A5" s="474" t="s">
        <v>470</v>
      </c>
      <c r="B5" s="84">
        <v>0</v>
      </c>
      <c r="C5" s="100">
        <v>0.9</v>
      </c>
      <c r="D5" s="528">
        <f t="shared" ref="D5:D17" si="0">+B5*C5</f>
        <v>0</v>
      </c>
    </row>
    <row r="6" spans="1:18" ht="18" customHeight="1">
      <c r="A6" s="474" t="s">
        <v>470</v>
      </c>
      <c r="B6" s="84">
        <v>85</v>
      </c>
      <c r="C6" s="100">
        <v>1.07</v>
      </c>
      <c r="D6" s="528">
        <f t="shared" si="0"/>
        <v>90.95</v>
      </c>
    </row>
    <row r="7" spans="1:18" ht="18" customHeight="1">
      <c r="A7" s="474" t="s">
        <v>470</v>
      </c>
      <c r="B7" s="84">
        <v>17</v>
      </c>
      <c r="C7" s="100">
        <v>1.64</v>
      </c>
      <c r="D7" s="528">
        <f t="shared" si="0"/>
        <v>27.88</v>
      </c>
    </row>
    <row r="8" spans="1:18" ht="18" customHeight="1">
      <c r="A8" s="474" t="s">
        <v>470</v>
      </c>
      <c r="B8" s="84">
        <v>17</v>
      </c>
      <c r="C8" s="100">
        <v>2.13</v>
      </c>
      <c r="D8" s="528">
        <f t="shared" si="0"/>
        <v>36.21</v>
      </c>
    </row>
    <row r="9" spans="1:18" ht="18" customHeight="1">
      <c r="A9" s="474" t="s">
        <v>470</v>
      </c>
      <c r="B9" s="84">
        <v>17</v>
      </c>
      <c r="C9" s="100">
        <v>2.17</v>
      </c>
      <c r="D9" s="528">
        <f t="shared" si="0"/>
        <v>36.89</v>
      </c>
    </row>
    <row r="10" spans="1:18" ht="18" customHeight="1">
      <c r="A10" s="474" t="s">
        <v>470</v>
      </c>
      <c r="B10" s="84">
        <v>57</v>
      </c>
      <c r="C10" s="100">
        <v>2.37</v>
      </c>
      <c r="D10" s="528">
        <f t="shared" si="0"/>
        <v>135.09</v>
      </c>
    </row>
    <row r="11" spans="1:18" ht="18" customHeight="1">
      <c r="A11" s="474" t="s">
        <v>470</v>
      </c>
      <c r="B11" s="84">
        <v>17</v>
      </c>
      <c r="C11" s="100">
        <v>2.56</v>
      </c>
      <c r="D11" s="528">
        <f t="shared" si="0"/>
        <v>43.52</v>
      </c>
    </row>
    <row r="12" spans="1:18" ht="18" customHeight="1">
      <c r="A12" s="474" t="s">
        <v>470</v>
      </c>
      <c r="B12" s="84">
        <v>17</v>
      </c>
      <c r="C12" s="100">
        <v>2.86</v>
      </c>
      <c r="D12" s="528">
        <f t="shared" si="0"/>
        <v>48.62</v>
      </c>
    </row>
    <row r="13" spans="1:18" ht="18" customHeight="1">
      <c r="A13" s="474" t="s">
        <v>470</v>
      </c>
      <c r="B13" s="84">
        <v>17</v>
      </c>
      <c r="C13" s="100">
        <v>2.88</v>
      </c>
      <c r="D13" s="528">
        <f t="shared" si="0"/>
        <v>48.96</v>
      </c>
    </row>
    <row r="14" spans="1:18" ht="18" customHeight="1">
      <c r="A14" s="474" t="s">
        <v>470</v>
      </c>
      <c r="B14" s="84">
        <v>17</v>
      </c>
      <c r="C14" s="100">
        <v>3.05</v>
      </c>
      <c r="D14" s="528">
        <f t="shared" si="0"/>
        <v>51.849999999999994</v>
      </c>
    </row>
    <row r="15" spans="1:18" ht="18" customHeight="1">
      <c r="A15" s="474" t="s">
        <v>470</v>
      </c>
      <c r="B15" s="84">
        <v>17</v>
      </c>
      <c r="C15" s="100">
        <v>3.27</v>
      </c>
      <c r="D15" s="528">
        <f t="shared" si="0"/>
        <v>55.59</v>
      </c>
    </row>
    <row r="16" spans="1:18" ht="18" customHeight="1">
      <c r="A16" s="474" t="s">
        <v>470</v>
      </c>
      <c r="B16" s="84">
        <v>40</v>
      </c>
      <c r="C16" s="100">
        <v>3.55</v>
      </c>
      <c r="D16" s="528">
        <f t="shared" si="0"/>
        <v>142</v>
      </c>
    </row>
    <row r="17" spans="1:5" ht="18" customHeight="1">
      <c r="A17" s="474" t="s">
        <v>470</v>
      </c>
      <c r="B17" s="84">
        <v>6</v>
      </c>
      <c r="C17" s="100">
        <v>4.8600000000000003</v>
      </c>
      <c r="D17" s="528">
        <f t="shared" si="0"/>
        <v>29.160000000000004</v>
      </c>
    </row>
    <row r="18" spans="1:5" ht="18" customHeight="1">
      <c r="A18" s="474" t="s">
        <v>470</v>
      </c>
      <c r="B18" s="84">
        <v>6</v>
      </c>
      <c r="C18" s="100">
        <v>5.81</v>
      </c>
      <c r="D18" s="528">
        <f>+B18*C18</f>
        <v>34.86</v>
      </c>
    </row>
    <row r="19" spans="1:5" ht="21" customHeight="1">
      <c r="A19" s="113"/>
      <c r="B19" s="477"/>
      <c r="C19" s="530" t="s">
        <v>16</v>
      </c>
      <c r="D19" s="531">
        <f>SUM(D4:D18)</f>
        <v>781.57999999999993</v>
      </c>
      <c r="E19" s="222"/>
    </row>
    <row r="20" spans="1:5" ht="21" customHeight="1">
      <c r="A20" s="113"/>
      <c r="B20" s="477"/>
      <c r="C20" s="532"/>
      <c r="D20" s="533">
        <f>+D19/11.7</f>
        <v>66.801709401709402</v>
      </c>
      <c r="E20" s="645">
        <f>E19/11.7</f>
        <v>0</v>
      </c>
    </row>
    <row r="21" spans="1:5" ht="18" customHeight="1">
      <c r="D21" s="490">
        <v>112</v>
      </c>
      <c r="E21" s="491" t="s">
        <v>474</v>
      </c>
    </row>
    <row r="22" spans="1:5" ht="18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60"/>
  <sheetViews>
    <sheetView topLeftCell="A39" workbookViewId="0">
      <selection activeCell="M36" sqref="M36"/>
    </sheetView>
  </sheetViews>
  <sheetFormatPr baseColWidth="10" defaultRowHeight="12.75"/>
  <cols>
    <col min="1" max="1" width="16.140625" customWidth="1"/>
    <col min="2" max="2" width="11.5703125" style="345" customWidth="1"/>
    <col min="3" max="3" width="11.5703125" style="213" customWidth="1"/>
    <col min="4" max="14" width="11.5703125" customWidth="1"/>
  </cols>
  <sheetData>
    <row r="1" spans="1:11">
      <c r="A1" s="463" t="s">
        <v>447</v>
      </c>
      <c r="B1" s="464"/>
      <c r="C1" s="465"/>
    </row>
    <row r="3" spans="1:11" ht="12.75" customHeight="1"/>
    <row r="4" spans="1:11" ht="12.75" customHeight="1"/>
    <row r="5" spans="1:11" ht="12.75" customHeight="1"/>
    <row r="6" spans="1:11" ht="12.75" customHeight="1"/>
    <row r="7" spans="1:11" ht="12.75" customHeight="1">
      <c r="B7" s="437" t="s">
        <v>423</v>
      </c>
      <c r="C7" s="457">
        <v>1.1000000000000001</v>
      </c>
      <c r="E7" s="440" t="s">
        <v>426</v>
      </c>
      <c r="F7" s="459">
        <v>0.3</v>
      </c>
    </row>
    <row r="8" spans="1:11" ht="12.75" customHeight="1"/>
    <row r="9" spans="1:11" ht="12.75" customHeight="1">
      <c r="J9" s="438" t="s">
        <v>427</v>
      </c>
      <c r="K9" s="462">
        <v>0.1</v>
      </c>
    </row>
    <row r="10" spans="1:11" ht="12.75" customHeight="1">
      <c r="D10" s="438" t="s">
        <v>425</v>
      </c>
      <c r="E10" s="460">
        <v>0.3</v>
      </c>
    </row>
    <row r="11" spans="1:11" ht="12.75" customHeight="1">
      <c r="J11" s="439" t="s">
        <v>430</v>
      </c>
      <c r="K11" s="461">
        <v>0.15</v>
      </c>
    </row>
    <row r="12" spans="1:11" ht="12.75" customHeight="1"/>
    <row r="13" spans="1:11" ht="15.75">
      <c r="D13" s="438" t="s">
        <v>424</v>
      </c>
      <c r="E13" s="458">
        <v>1.1000000000000001</v>
      </c>
    </row>
    <row r="16" spans="1:11" ht="15" customHeight="1">
      <c r="C16" s="436" t="s">
        <v>428</v>
      </c>
      <c r="D16" s="434" t="s">
        <v>431</v>
      </c>
      <c r="E16" s="434"/>
      <c r="F16" s="434"/>
      <c r="G16" s="446">
        <f>C7*E13*K11</f>
        <v>0.18150000000000002</v>
      </c>
    </row>
    <row r="17" spans="1:15" ht="15" customHeight="1">
      <c r="C17" s="436" t="s">
        <v>429</v>
      </c>
      <c r="D17" s="434" t="s">
        <v>422</v>
      </c>
      <c r="E17" s="434"/>
      <c r="F17" s="434"/>
      <c r="G17" s="446">
        <f>K9/6*((2*E13+E10)*C7+(2*E10+E13)*F7)</f>
        <v>5.4333333333333331E-2</v>
      </c>
    </row>
    <row r="19" spans="1:15" ht="18" customHeight="1">
      <c r="A19" s="496" t="s">
        <v>472</v>
      </c>
      <c r="B19" s="435"/>
      <c r="C19" s="436" t="s">
        <v>432</v>
      </c>
      <c r="G19" s="447">
        <f>G16+G17</f>
        <v>0.23583333333333334</v>
      </c>
    </row>
    <row r="20" spans="1:15" ht="18" customHeight="1">
      <c r="B20" s="435"/>
    </row>
    <row r="21" spans="1:15" ht="38.25" customHeight="1">
      <c r="A21" s="442" t="s">
        <v>433</v>
      </c>
      <c r="B21" s="445" t="s">
        <v>436</v>
      </c>
      <c r="C21" s="445" t="s">
        <v>437</v>
      </c>
      <c r="D21" s="445" t="s">
        <v>448</v>
      </c>
      <c r="E21" s="445" t="s">
        <v>449</v>
      </c>
      <c r="F21" s="445" t="s">
        <v>450</v>
      </c>
      <c r="G21" s="445" t="s">
        <v>451</v>
      </c>
      <c r="H21" s="445" t="s">
        <v>452</v>
      </c>
      <c r="I21" s="445" t="s">
        <v>453</v>
      </c>
      <c r="J21" s="445" t="s">
        <v>454</v>
      </c>
      <c r="K21" s="443" t="s">
        <v>455</v>
      </c>
      <c r="L21" s="448"/>
      <c r="M21" s="449"/>
      <c r="N21" s="449"/>
    </row>
    <row r="22" spans="1:15" s="441" customFormat="1" ht="21" customHeight="1">
      <c r="A22" s="442" t="s">
        <v>435</v>
      </c>
      <c r="B22" s="451">
        <v>1</v>
      </c>
      <c r="C22" s="452">
        <v>2</v>
      </c>
      <c r="D22" s="452">
        <v>2</v>
      </c>
      <c r="E22" s="452">
        <v>5</v>
      </c>
      <c r="F22" s="452">
        <v>5</v>
      </c>
      <c r="G22" s="452">
        <v>1</v>
      </c>
      <c r="H22" s="452">
        <v>4</v>
      </c>
      <c r="I22" s="452">
        <v>5</v>
      </c>
      <c r="J22" s="452">
        <v>1</v>
      </c>
      <c r="K22" s="452">
        <v>2</v>
      </c>
      <c r="L22" s="456">
        <f>SUM(B22:K22)</f>
        <v>28</v>
      </c>
      <c r="M22" s="468"/>
      <c r="N22" s="468"/>
    </row>
    <row r="23" spans="1:15" s="441" customFormat="1" ht="21" customHeight="1">
      <c r="A23" s="444" t="s">
        <v>434</v>
      </c>
      <c r="B23" s="453">
        <v>0.33600000000000002</v>
      </c>
      <c r="C23" s="454">
        <v>0.37</v>
      </c>
      <c r="D23" s="454">
        <v>0.39800000000000002</v>
      </c>
      <c r="E23" s="454">
        <v>0.42799999999999999</v>
      </c>
      <c r="F23" s="454">
        <v>0.45900000000000002</v>
      </c>
      <c r="G23" s="454">
        <v>0.49099999999999999</v>
      </c>
      <c r="H23" s="454">
        <v>0.53400000000000003</v>
      </c>
      <c r="I23" s="454">
        <v>0.56999999999999995</v>
      </c>
      <c r="J23" s="454">
        <v>0.60699999999999998</v>
      </c>
      <c r="K23" s="454">
        <v>0.72399999999999998</v>
      </c>
      <c r="L23" s="450"/>
      <c r="M23" s="469"/>
      <c r="N23" s="469"/>
    </row>
    <row r="24" spans="1:15" s="441" customFormat="1" ht="21" customHeight="1">
      <c r="A24" s="444" t="s">
        <v>446</v>
      </c>
      <c r="B24" s="455">
        <f>+B22*B23</f>
        <v>0.33600000000000002</v>
      </c>
      <c r="C24" s="455">
        <f t="shared" ref="C24:K24" si="0">+C22*C23</f>
        <v>0.74</v>
      </c>
      <c r="D24" s="455">
        <f t="shared" si="0"/>
        <v>0.79600000000000004</v>
      </c>
      <c r="E24" s="455">
        <f t="shared" si="0"/>
        <v>2.14</v>
      </c>
      <c r="F24" s="455">
        <f t="shared" si="0"/>
        <v>2.2949999999999999</v>
      </c>
      <c r="G24" s="455">
        <f t="shared" si="0"/>
        <v>0.49099999999999999</v>
      </c>
      <c r="H24" s="455">
        <f t="shared" si="0"/>
        <v>2.1360000000000001</v>
      </c>
      <c r="I24" s="455">
        <f t="shared" si="0"/>
        <v>2.8499999999999996</v>
      </c>
      <c r="J24" s="455">
        <f t="shared" si="0"/>
        <v>0.60699999999999998</v>
      </c>
      <c r="K24" s="455">
        <f t="shared" si="0"/>
        <v>1.448</v>
      </c>
      <c r="L24" s="492">
        <f>SUM(B24:K24)</f>
        <v>13.839</v>
      </c>
      <c r="M24" s="493" t="s">
        <v>2</v>
      </c>
      <c r="N24" s="470"/>
      <c r="O24" s="466"/>
    </row>
    <row r="25" spans="1:15" ht="18" customHeight="1"/>
    <row r="26" spans="1:15" ht="18" customHeight="1">
      <c r="A26" s="819" t="s">
        <v>477</v>
      </c>
      <c r="B26" s="819"/>
      <c r="C26" s="436"/>
      <c r="G26" s="447"/>
    </row>
    <row r="27" spans="1:15" ht="18" customHeight="1">
      <c r="A27" s="820"/>
      <c r="B27" s="820"/>
    </row>
    <row r="28" spans="1:15" ht="38.25" customHeight="1">
      <c r="A28" s="442" t="s">
        <v>433</v>
      </c>
      <c r="B28" s="445" t="s">
        <v>436</v>
      </c>
      <c r="C28" s="445" t="s">
        <v>437</v>
      </c>
      <c r="D28" s="445" t="s">
        <v>448</v>
      </c>
      <c r="E28" s="445" t="s">
        <v>449</v>
      </c>
      <c r="F28" s="445" t="s">
        <v>450</v>
      </c>
      <c r="G28" s="445" t="s">
        <v>451</v>
      </c>
      <c r="H28" s="445" t="s">
        <v>452</v>
      </c>
      <c r="I28" s="445" t="s">
        <v>453</v>
      </c>
      <c r="J28" s="445" t="s">
        <v>454</v>
      </c>
      <c r="K28" s="443" t="s">
        <v>455</v>
      </c>
      <c r="L28" s="448"/>
      <c r="M28" s="449"/>
      <c r="N28" s="449"/>
    </row>
    <row r="29" spans="1:15" s="441" customFormat="1" ht="18" customHeight="1">
      <c r="A29" s="444" t="s">
        <v>434</v>
      </c>
      <c r="B29" s="453">
        <f>1.25*1.25*0.05</f>
        <v>7.8125E-2</v>
      </c>
      <c r="C29" s="454">
        <f>B29</f>
        <v>7.8125E-2</v>
      </c>
      <c r="D29" s="454">
        <f>1.3*1.3*0.05</f>
        <v>8.450000000000002E-2</v>
      </c>
      <c r="E29" s="454">
        <f>1.35*1.35*0.05</f>
        <v>9.1125000000000012E-2</v>
      </c>
      <c r="F29" s="454">
        <f>1.4*1.4*0.05</f>
        <v>9.799999999999999E-2</v>
      </c>
      <c r="G29" s="454">
        <f>1.45*1.45*0.05</f>
        <v>0.10512500000000001</v>
      </c>
      <c r="H29" s="454">
        <f>G29</f>
        <v>0.10512500000000001</v>
      </c>
      <c r="I29" s="454">
        <f>1.5*1.5*0.05</f>
        <v>0.1125</v>
      </c>
      <c r="J29" s="454">
        <f>1.55*1.55*0.05</f>
        <v>0.12012500000000002</v>
      </c>
      <c r="K29" s="454">
        <f>1.7*1.7*0.05</f>
        <v>0.14449999999999999</v>
      </c>
      <c r="L29" s="450"/>
      <c r="M29" s="469"/>
      <c r="N29" s="469"/>
    </row>
    <row r="30" spans="1:15" s="441" customFormat="1" ht="18" customHeight="1">
      <c r="A30" s="442" t="s">
        <v>435</v>
      </c>
      <c r="B30" s="451">
        <v>1</v>
      </c>
      <c r="C30" s="452">
        <v>2</v>
      </c>
      <c r="D30" s="452">
        <v>2</v>
      </c>
      <c r="E30" s="452">
        <v>5</v>
      </c>
      <c r="F30" s="452">
        <v>5</v>
      </c>
      <c r="G30" s="452">
        <v>1</v>
      </c>
      <c r="H30" s="452">
        <v>4</v>
      </c>
      <c r="I30" s="452">
        <v>5</v>
      </c>
      <c r="J30" s="452">
        <v>1</v>
      </c>
      <c r="K30" s="452">
        <v>2</v>
      </c>
      <c r="L30" s="450"/>
      <c r="M30" s="469"/>
      <c r="N30" s="469"/>
    </row>
    <row r="31" spans="1:15" s="441" customFormat="1" ht="18" customHeight="1">
      <c r="A31" s="444" t="s">
        <v>446</v>
      </c>
      <c r="B31" s="455">
        <f>+B29*B30</f>
        <v>7.8125E-2</v>
      </c>
      <c r="C31" s="455">
        <f t="shared" ref="C31:K31" si="1">+C29*C30</f>
        <v>0.15625</v>
      </c>
      <c r="D31" s="455">
        <f t="shared" si="1"/>
        <v>0.16900000000000004</v>
      </c>
      <c r="E31" s="455">
        <f t="shared" si="1"/>
        <v>0.45562500000000006</v>
      </c>
      <c r="F31" s="455">
        <f t="shared" si="1"/>
        <v>0.48999999999999994</v>
      </c>
      <c r="G31" s="455">
        <f t="shared" si="1"/>
        <v>0.10512500000000001</v>
      </c>
      <c r="H31" s="455">
        <f t="shared" si="1"/>
        <v>0.42050000000000004</v>
      </c>
      <c r="I31" s="455">
        <f t="shared" si="1"/>
        <v>0.5625</v>
      </c>
      <c r="J31" s="455">
        <f t="shared" si="1"/>
        <v>0.12012500000000002</v>
      </c>
      <c r="K31" s="455">
        <f t="shared" si="1"/>
        <v>0.28899999999999998</v>
      </c>
      <c r="L31" s="492">
        <f>SUM(B31:K31)</f>
        <v>2.8462499999999999</v>
      </c>
      <c r="M31" s="493" t="s">
        <v>2</v>
      </c>
      <c r="N31" s="470"/>
      <c r="O31" s="466"/>
    </row>
    <row r="32" spans="1:15" ht="18" customHeight="1">
      <c r="M32" s="467"/>
    </row>
    <row r="33" spans="1:15" ht="18" customHeight="1">
      <c r="A33" s="819" t="s">
        <v>463</v>
      </c>
      <c r="B33" s="819"/>
    </row>
    <row r="34" spans="1:15" ht="10.5" customHeight="1"/>
    <row r="35" spans="1:15" ht="38.25" customHeight="1">
      <c r="A35" s="442" t="s">
        <v>433</v>
      </c>
      <c r="B35" s="445" t="s">
        <v>436</v>
      </c>
      <c r="C35" s="445" t="s">
        <v>437</v>
      </c>
      <c r="D35" s="445" t="s">
        <v>438</v>
      </c>
      <c r="E35" s="445" t="s">
        <v>439</v>
      </c>
      <c r="F35" s="445" t="s">
        <v>440</v>
      </c>
      <c r="G35" s="445" t="s">
        <v>441</v>
      </c>
      <c r="H35" s="445" t="s">
        <v>442</v>
      </c>
      <c r="I35" s="445" t="s">
        <v>443</v>
      </c>
      <c r="J35" s="445" t="s">
        <v>444</v>
      </c>
      <c r="K35" s="445" t="s">
        <v>445</v>
      </c>
      <c r="L35" s="448"/>
      <c r="M35" s="449"/>
      <c r="N35" s="449"/>
    </row>
    <row r="36" spans="1:15" s="441" customFormat="1" ht="21" customHeight="1">
      <c r="A36" s="442" t="s">
        <v>458</v>
      </c>
      <c r="B36" s="451">
        <v>1</v>
      </c>
      <c r="C36" s="452">
        <v>2</v>
      </c>
      <c r="D36" s="452">
        <v>2</v>
      </c>
      <c r="E36" s="452">
        <v>5</v>
      </c>
      <c r="F36" s="452">
        <v>5</v>
      </c>
      <c r="G36" s="452">
        <v>1</v>
      </c>
      <c r="H36" s="452">
        <v>4</v>
      </c>
      <c r="I36" s="452">
        <v>5</v>
      </c>
      <c r="J36" s="452">
        <v>1</v>
      </c>
      <c r="K36" s="452">
        <v>2</v>
      </c>
      <c r="L36" s="456">
        <f>SUM(B36:K36)</f>
        <v>28</v>
      </c>
      <c r="M36" s="468"/>
      <c r="N36" s="468"/>
    </row>
    <row r="37" spans="1:15" s="441" customFormat="1" ht="21" customHeight="1">
      <c r="A37" s="442" t="s">
        <v>460</v>
      </c>
      <c r="B37" s="474" t="s">
        <v>461</v>
      </c>
      <c r="C37" s="474" t="s">
        <v>461</v>
      </c>
      <c r="D37" s="474" t="s">
        <v>461</v>
      </c>
      <c r="E37" s="474" t="s">
        <v>461</v>
      </c>
      <c r="F37" s="474" t="s">
        <v>461</v>
      </c>
      <c r="G37" s="474" t="s">
        <v>461</v>
      </c>
      <c r="H37" s="474" t="s">
        <v>461</v>
      </c>
      <c r="I37" s="474" t="s">
        <v>461</v>
      </c>
      <c r="J37" s="474" t="s">
        <v>461</v>
      </c>
      <c r="K37" s="474" t="s">
        <v>461</v>
      </c>
      <c r="L37" s="456"/>
      <c r="M37" s="468"/>
      <c r="N37" s="468"/>
    </row>
    <row r="38" spans="1:15" s="441" customFormat="1" ht="21" customHeight="1">
      <c r="A38" s="442" t="s">
        <v>459</v>
      </c>
      <c r="B38" s="451">
        <v>10</v>
      </c>
      <c r="C38" s="452">
        <v>10</v>
      </c>
      <c r="D38" s="452">
        <v>10</v>
      </c>
      <c r="E38" s="452">
        <v>12</v>
      </c>
      <c r="F38" s="452">
        <v>12</v>
      </c>
      <c r="G38" s="452">
        <v>14</v>
      </c>
      <c r="H38" s="452">
        <v>14</v>
      </c>
      <c r="I38" s="452">
        <v>14</v>
      </c>
      <c r="J38" s="452">
        <v>14</v>
      </c>
      <c r="K38" s="452">
        <v>18</v>
      </c>
      <c r="L38" s="456"/>
      <c r="M38" s="468"/>
      <c r="N38" s="468"/>
    </row>
    <row r="39" spans="1:15" s="441" customFormat="1" ht="21" customHeight="1">
      <c r="A39" s="444" t="s">
        <v>457</v>
      </c>
      <c r="B39" s="471">
        <v>1.55</v>
      </c>
      <c r="C39" s="472">
        <v>1.55</v>
      </c>
      <c r="D39" s="472">
        <v>1.6</v>
      </c>
      <c r="E39" s="472">
        <v>1.65</v>
      </c>
      <c r="F39" s="472">
        <v>1.7</v>
      </c>
      <c r="G39" s="472">
        <v>1.75</v>
      </c>
      <c r="H39" s="472">
        <v>1.75</v>
      </c>
      <c r="I39" s="472">
        <v>1.8</v>
      </c>
      <c r="J39" s="472">
        <v>1.85</v>
      </c>
      <c r="K39" s="472">
        <v>2</v>
      </c>
      <c r="L39" s="450"/>
      <c r="M39" s="469"/>
      <c r="N39" s="469"/>
    </row>
    <row r="40" spans="1:15" s="441" customFormat="1" ht="21" customHeight="1">
      <c r="A40" s="444" t="s">
        <v>456</v>
      </c>
      <c r="B40" s="473">
        <f>+B36*B38*B39</f>
        <v>15.5</v>
      </c>
      <c r="C40" s="473">
        <f t="shared" ref="C40:K40" si="2">+C36*C38*C39</f>
        <v>31</v>
      </c>
      <c r="D40" s="473">
        <f t="shared" si="2"/>
        <v>32</v>
      </c>
      <c r="E40" s="473">
        <f t="shared" si="2"/>
        <v>99</v>
      </c>
      <c r="F40" s="473">
        <f t="shared" si="2"/>
        <v>102</v>
      </c>
      <c r="G40" s="473">
        <f t="shared" si="2"/>
        <v>24.5</v>
      </c>
      <c r="H40" s="473">
        <f t="shared" si="2"/>
        <v>98</v>
      </c>
      <c r="I40" s="473">
        <f t="shared" si="2"/>
        <v>126</v>
      </c>
      <c r="J40" s="473">
        <f t="shared" si="2"/>
        <v>25.900000000000002</v>
      </c>
      <c r="K40" s="473">
        <f t="shared" si="2"/>
        <v>72</v>
      </c>
      <c r="L40" s="501">
        <f>SUM(B40:K40)</f>
        <v>625.9</v>
      </c>
      <c r="M40" s="470"/>
      <c r="N40" s="470"/>
      <c r="O40" s="466"/>
    </row>
    <row r="41" spans="1:15" ht="15" customHeight="1">
      <c r="A41" s="479" t="s">
        <v>462</v>
      </c>
      <c r="B41" s="478">
        <v>0.6</v>
      </c>
      <c r="C41" s="478">
        <v>0.6</v>
      </c>
      <c r="D41" s="478">
        <v>0.65</v>
      </c>
      <c r="E41" s="478">
        <v>0.34</v>
      </c>
      <c r="F41" s="478">
        <v>0.34</v>
      </c>
      <c r="G41" s="478">
        <v>0.42</v>
      </c>
      <c r="H41" s="478">
        <v>0.42</v>
      </c>
      <c r="I41" s="478">
        <v>0.5</v>
      </c>
      <c r="J41" s="478">
        <v>0.52</v>
      </c>
      <c r="K41" s="478">
        <v>0.5</v>
      </c>
      <c r="L41" s="476"/>
      <c r="M41" s="475"/>
    </row>
    <row r="42" spans="1:15" ht="15" customHeight="1">
      <c r="B42" s="477">
        <v>2</v>
      </c>
      <c r="C42" s="477">
        <v>2</v>
      </c>
      <c r="D42" s="477">
        <v>2</v>
      </c>
      <c r="E42" s="477">
        <v>2</v>
      </c>
      <c r="F42" s="477">
        <v>2</v>
      </c>
      <c r="G42" s="477">
        <v>2</v>
      </c>
      <c r="H42" s="477">
        <v>2</v>
      </c>
      <c r="I42" s="477">
        <v>2</v>
      </c>
      <c r="J42" s="477">
        <v>2</v>
      </c>
      <c r="K42" s="477">
        <v>2</v>
      </c>
    </row>
    <row r="43" spans="1:15" ht="15" customHeight="1">
      <c r="B43" s="478">
        <f>B41*B42</f>
        <v>1.2</v>
      </c>
      <c r="C43" s="478">
        <f t="shared" ref="C43:K43" si="3">C41*C42</f>
        <v>1.2</v>
      </c>
      <c r="D43" s="478">
        <f t="shared" si="3"/>
        <v>1.3</v>
      </c>
      <c r="E43" s="478">
        <f t="shared" si="3"/>
        <v>0.68</v>
      </c>
      <c r="F43" s="478">
        <f t="shared" si="3"/>
        <v>0.68</v>
      </c>
      <c r="G43" s="478">
        <f t="shared" si="3"/>
        <v>0.84</v>
      </c>
      <c r="H43" s="478">
        <f t="shared" si="3"/>
        <v>0.84</v>
      </c>
      <c r="I43" s="478">
        <f t="shared" si="3"/>
        <v>1</v>
      </c>
      <c r="J43" s="478">
        <f t="shared" si="3"/>
        <v>1.04</v>
      </c>
      <c r="K43" s="478">
        <f t="shared" si="3"/>
        <v>1</v>
      </c>
    </row>
    <row r="44" spans="1:15" ht="15" customHeight="1">
      <c r="B44" s="480">
        <f>B43*B36</f>
        <v>1.2</v>
      </c>
      <c r="C44" s="480">
        <f t="shared" ref="C44:K44" si="4">C43*C36</f>
        <v>2.4</v>
      </c>
      <c r="D44" s="480">
        <f t="shared" si="4"/>
        <v>2.6</v>
      </c>
      <c r="E44" s="480">
        <f t="shared" si="4"/>
        <v>3.4000000000000004</v>
      </c>
      <c r="F44" s="480">
        <f t="shared" si="4"/>
        <v>3.4000000000000004</v>
      </c>
      <c r="G44" s="480">
        <f t="shared" si="4"/>
        <v>0.84</v>
      </c>
      <c r="H44" s="480">
        <f t="shared" si="4"/>
        <v>3.36</v>
      </c>
      <c r="I44" s="480">
        <f t="shared" si="4"/>
        <v>5</v>
      </c>
      <c r="J44" s="480">
        <f t="shared" si="4"/>
        <v>1.04</v>
      </c>
      <c r="K44" s="480">
        <f t="shared" si="4"/>
        <v>2</v>
      </c>
      <c r="L44" s="481">
        <f>SUM(B44:K44)</f>
        <v>25.24</v>
      </c>
    </row>
    <row r="45" spans="1:15" ht="15" customHeight="1">
      <c r="K45" s="484" t="s">
        <v>16</v>
      </c>
      <c r="L45" s="483">
        <f>L40+L44</f>
        <v>651.14</v>
      </c>
      <c r="M45" s="482">
        <f>L45/11.7</f>
        <v>55.652991452991458</v>
      </c>
    </row>
    <row r="46" spans="1:15" ht="15" customHeight="1">
      <c r="L46" s="490">
        <v>56</v>
      </c>
      <c r="M46" s="491" t="s">
        <v>473</v>
      </c>
    </row>
    <row r="48" spans="1:15" ht="21" customHeight="1">
      <c r="A48" s="819" t="s">
        <v>464</v>
      </c>
      <c r="B48" s="819"/>
      <c r="C48" s="819"/>
    </row>
    <row r="49" spans="1:18" ht="10.5" customHeight="1"/>
    <row r="50" spans="1:18" ht="39" customHeight="1">
      <c r="A50" s="442" t="s">
        <v>468</v>
      </c>
      <c r="B50" s="445" t="s">
        <v>466</v>
      </c>
      <c r="C50" s="448"/>
      <c r="F50" s="442" t="s">
        <v>468</v>
      </c>
      <c r="G50" s="445" t="s">
        <v>466</v>
      </c>
    </row>
    <row r="51" spans="1:18" ht="21" customHeight="1">
      <c r="A51" s="442" t="s">
        <v>465</v>
      </c>
      <c r="B51" s="451">
        <v>28</v>
      </c>
      <c r="C51" s="485"/>
      <c r="F51" s="442" t="s">
        <v>465</v>
      </c>
      <c r="G51" s="451">
        <v>28</v>
      </c>
    </row>
    <row r="52" spans="1:18" ht="21" customHeight="1">
      <c r="A52" s="442" t="s">
        <v>460</v>
      </c>
      <c r="B52" s="474" t="s">
        <v>467</v>
      </c>
      <c r="C52" s="486"/>
      <c r="F52" s="442" t="s">
        <v>460</v>
      </c>
      <c r="G52" s="474" t="s">
        <v>470</v>
      </c>
    </row>
    <row r="53" spans="1:18" ht="21" customHeight="1">
      <c r="A53" s="442" t="s">
        <v>459</v>
      </c>
      <c r="B53" s="451">
        <v>4</v>
      </c>
      <c r="C53" s="485"/>
      <c r="F53" s="442" t="s">
        <v>459</v>
      </c>
      <c r="G53" s="451">
        <v>9</v>
      </c>
    </row>
    <row r="54" spans="1:18" ht="21" customHeight="1">
      <c r="A54" s="444" t="s">
        <v>457</v>
      </c>
      <c r="B54" s="471">
        <v>2.23</v>
      </c>
      <c r="C54" s="487"/>
      <c r="F54" s="444" t="s">
        <v>457</v>
      </c>
      <c r="G54" s="471">
        <v>0.66</v>
      </c>
    </row>
    <row r="55" spans="1:18" ht="21" customHeight="1">
      <c r="A55" s="444" t="s">
        <v>456</v>
      </c>
      <c r="B55" s="473">
        <f>+B51*B53*B54</f>
        <v>249.76</v>
      </c>
      <c r="C55" s="488"/>
      <c r="F55" s="444" t="s">
        <v>469</v>
      </c>
      <c r="G55" s="473">
        <f>+G51*G53*G54</f>
        <v>166.32000000000002</v>
      </c>
    </row>
    <row r="56" spans="1:18" ht="15" customHeight="1">
      <c r="B56" s="484" t="s">
        <v>16</v>
      </c>
      <c r="C56" s="483">
        <f>+B55</f>
        <v>249.76</v>
      </c>
      <c r="D56" s="482">
        <f>C56/11.7</f>
        <v>21.347008547008546</v>
      </c>
      <c r="G56" s="484" t="s">
        <v>16</v>
      </c>
      <c r="H56" s="483">
        <f>+G55</f>
        <v>166.32000000000002</v>
      </c>
      <c r="I56" s="482">
        <f>H56/11.7</f>
        <v>14.215384615384618</v>
      </c>
    </row>
    <row r="57" spans="1:18" s="337" customFormat="1" ht="15" customHeight="1">
      <c r="C57" s="494">
        <v>22</v>
      </c>
      <c r="D57" s="495" t="s">
        <v>475</v>
      </c>
      <c r="H57" s="494">
        <v>15</v>
      </c>
      <c r="I57" s="495" t="s">
        <v>474</v>
      </c>
    </row>
    <row r="58" spans="1:18" ht="21" customHeight="1"/>
    <row r="59" spans="1:18">
      <c r="P59" s="484" t="s">
        <v>16</v>
      </c>
      <c r="Q59" s="483" t="e">
        <f>SUM(#REF!)</f>
        <v>#REF!</v>
      </c>
      <c r="R59" s="500" t="e">
        <f>Q59/11.7</f>
        <v>#REF!</v>
      </c>
    </row>
    <row r="60" spans="1:18" s="502" customFormat="1" ht="15">
      <c r="B60" s="345"/>
      <c r="C60" s="213"/>
      <c r="Q60" s="503">
        <v>112</v>
      </c>
      <c r="R60" s="504" t="s">
        <v>474</v>
      </c>
    </row>
  </sheetData>
  <mergeCells count="4">
    <mergeCell ref="A33:B33"/>
    <mergeCell ref="A48:C48"/>
    <mergeCell ref="A26:B26"/>
    <mergeCell ref="A27:B2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3"/>
  <sheetViews>
    <sheetView topLeftCell="A52" workbookViewId="0">
      <selection activeCell="E15" sqref="E15"/>
    </sheetView>
  </sheetViews>
  <sheetFormatPr baseColWidth="10" defaultRowHeight="12.75"/>
  <cols>
    <col min="1" max="1" width="17.7109375" customWidth="1"/>
    <col min="2" max="6" width="11.42578125" style="345"/>
  </cols>
  <sheetData>
    <row r="1" spans="1:6">
      <c r="A1" s="819" t="s">
        <v>503</v>
      </c>
      <c r="B1" s="819"/>
      <c r="C1" s="819"/>
      <c r="D1" s="819"/>
      <c r="E1" s="819"/>
      <c r="F1" s="819"/>
    </row>
    <row r="3" spans="1:6" ht="17.25" customHeight="1">
      <c r="A3" s="556" t="s">
        <v>507</v>
      </c>
      <c r="B3" s="559" t="s">
        <v>394</v>
      </c>
      <c r="C3" s="559" t="s">
        <v>395</v>
      </c>
      <c r="D3" s="559" t="s">
        <v>396</v>
      </c>
      <c r="E3" s="559" t="s">
        <v>397</v>
      </c>
      <c r="F3" s="559" t="s">
        <v>495</v>
      </c>
    </row>
    <row r="4" spans="1:6" ht="18" customHeight="1">
      <c r="A4" s="558" t="s">
        <v>508</v>
      </c>
      <c r="B4" s="556"/>
      <c r="C4" s="556"/>
      <c r="D4" s="559">
        <f>+'Semelle isolée+attente poteau'!L46</f>
        <v>56</v>
      </c>
      <c r="E4" s="556"/>
      <c r="F4" s="556"/>
    </row>
    <row r="5" spans="1:6" ht="18" customHeight="1">
      <c r="A5" s="558" t="s">
        <v>504</v>
      </c>
      <c r="B5" s="557">
        <f>+'Semelle isolée+attente poteau'!H57</f>
        <v>15</v>
      </c>
      <c r="C5" s="557"/>
      <c r="D5" s="557"/>
      <c r="E5" s="557">
        <f>+'Semelle isolée+attente poteau'!C57</f>
        <v>22</v>
      </c>
      <c r="F5" s="557"/>
    </row>
    <row r="6" spans="1:6" ht="18" customHeight="1">
      <c r="A6" s="558" t="s">
        <v>505</v>
      </c>
      <c r="B6" s="557">
        <f>+Dallage!D21</f>
        <v>112</v>
      </c>
      <c r="C6" s="557"/>
      <c r="D6" s="557"/>
      <c r="E6" s="557"/>
      <c r="F6" s="557"/>
    </row>
    <row r="7" spans="1:6" ht="18" customHeight="1">
      <c r="A7" s="558" t="s">
        <v>506</v>
      </c>
      <c r="B7" s="557">
        <f>+'Longrine ferrl'!E49</f>
        <v>0</v>
      </c>
      <c r="C7" s="557">
        <f>+'Longrine ferrl'!K49</f>
        <v>0</v>
      </c>
      <c r="D7" s="557">
        <f>+'Longrine ferrl'!Q49</f>
        <v>0</v>
      </c>
      <c r="E7" s="557">
        <f>+'Longrine ferrl'!W49</f>
        <v>0</v>
      </c>
      <c r="F7" s="557">
        <f>+'Longrine ferrl'!AC49</f>
        <v>0</v>
      </c>
    </row>
    <row r="8" spans="1:6" ht="18" customHeight="1">
      <c r="A8" s="560" t="s">
        <v>16</v>
      </c>
      <c r="B8" s="561">
        <f>SUM(B4:B7)</f>
        <v>127</v>
      </c>
      <c r="C8" s="561">
        <f t="shared" ref="C8:F8" si="0">SUM(C4:C7)</f>
        <v>0</v>
      </c>
      <c r="D8" s="561">
        <f t="shared" si="0"/>
        <v>56</v>
      </c>
      <c r="E8" s="561">
        <f t="shared" si="0"/>
        <v>22</v>
      </c>
      <c r="F8" s="561">
        <f t="shared" si="0"/>
        <v>0</v>
      </c>
    </row>
    <row r="9" spans="1:6" ht="15" customHeight="1"/>
    <row r="10" spans="1:6" ht="15" customHeight="1"/>
    <row r="11" spans="1:6" ht="15" customHeight="1"/>
    <row r="12" spans="1:6" ht="15" customHeight="1"/>
    <row r="13" spans="1:6" ht="15" customHeight="1"/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62"/>
  <sheetViews>
    <sheetView topLeftCell="K1" workbookViewId="0">
      <selection activeCell="Q18" sqref="Q18"/>
    </sheetView>
  </sheetViews>
  <sheetFormatPr baseColWidth="10" defaultRowHeight="12.75"/>
  <cols>
    <col min="1" max="1" width="23.42578125" style="646" customWidth="1"/>
    <col min="2" max="2" width="10.28515625" style="646" customWidth="1"/>
    <col min="3" max="3" width="18.5703125" style="113" customWidth="1"/>
    <col min="4" max="4" width="8.28515625" style="477" customWidth="1"/>
    <col min="5" max="5" width="10.28515625" style="477" customWidth="1"/>
    <col min="6" max="7" width="12.85546875" style="113" customWidth="1"/>
    <col min="8" max="8" width="27.5703125" style="113" customWidth="1"/>
    <col min="9" max="10" width="11.42578125" style="113"/>
    <col min="11" max="11" width="12.5703125" style="552" bestFit="1" customWidth="1"/>
    <col min="12" max="12" width="13.42578125" style="552" bestFit="1" customWidth="1"/>
    <col min="13" max="13" width="14.28515625" style="113" bestFit="1" customWidth="1"/>
    <col min="14" max="14" width="11.42578125" style="113"/>
    <col min="15" max="15" width="12.5703125" style="552" bestFit="1" customWidth="1"/>
    <col min="16" max="16384" width="11.42578125" style="113"/>
  </cols>
  <sheetData>
    <row r="1" spans="1:15" ht="18" customHeight="1">
      <c r="A1" s="509" t="s">
        <v>31</v>
      </c>
      <c r="B1" s="509" t="s">
        <v>32</v>
      </c>
      <c r="C1" s="509" t="s">
        <v>34</v>
      </c>
      <c r="D1" s="509" t="s">
        <v>114</v>
      </c>
      <c r="E1" s="509" t="s">
        <v>32</v>
      </c>
      <c r="F1" s="509" t="s">
        <v>512</v>
      </c>
      <c r="G1" s="509" t="s">
        <v>33</v>
      </c>
      <c r="O1" s="552">
        <v>2400000</v>
      </c>
    </row>
    <row r="2" spans="1:15" ht="12.75" customHeight="1">
      <c r="A2" s="647" t="s">
        <v>513</v>
      </c>
      <c r="B2" s="647"/>
      <c r="C2" s="648" t="s">
        <v>514</v>
      </c>
      <c r="D2" s="84" t="s">
        <v>23</v>
      </c>
      <c r="E2" s="99">
        <v>23</v>
      </c>
      <c r="F2" s="649">
        <v>23000</v>
      </c>
      <c r="G2" s="650">
        <f>+E2*F2</f>
        <v>529000</v>
      </c>
      <c r="H2" s="648" t="s">
        <v>514</v>
      </c>
      <c r="I2" s="84" t="s">
        <v>23</v>
      </c>
      <c r="J2" s="99">
        <f>E2+E8+E52</f>
        <v>96</v>
      </c>
      <c r="K2" s="552">
        <v>23000</v>
      </c>
      <c r="L2" s="552">
        <f>J2*K2</f>
        <v>2208000</v>
      </c>
      <c r="O2" s="552">
        <v>3000000</v>
      </c>
    </row>
    <row r="3" spans="1:15" ht="12.75" customHeight="1">
      <c r="A3" s="651"/>
      <c r="B3" s="651"/>
      <c r="C3" s="648" t="s">
        <v>515</v>
      </c>
      <c r="D3" s="84" t="s">
        <v>2</v>
      </c>
      <c r="E3" s="99">
        <v>6</v>
      </c>
      <c r="F3" s="649">
        <v>20000</v>
      </c>
      <c r="G3" s="650">
        <f t="shared" ref="G3:G28" si="0">+E3*F3</f>
        <v>120000</v>
      </c>
      <c r="H3" s="648" t="s">
        <v>524</v>
      </c>
      <c r="I3" s="84" t="s">
        <v>23</v>
      </c>
      <c r="J3" s="99">
        <f>E13+E36</f>
        <v>368</v>
      </c>
      <c r="K3" s="552">
        <v>29000</v>
      </c>
      <c r="L3" s="552">
        <f t="shared" ref="L3:L24" si="1">J3*K3</f>
        <v>10672000</v>
      </c>
      <c r="O3" s="552">
        <v>800000</v>
      </c>
    </row>
    <row r="4" spans="1:15" ht="12.75" customHeight="1">
      <c r="A4" s="652"/>
      <c r="B4" s="652"/>
      <c r="C4" s="648" t="s">
        <v>516</v>
      </c>
      <c r="D4" s="84" t="s">
        <v>2</v>
      </c>
      <c r="E4" s="693">
        <v>8.77</v>
      </c>
      <c r="F4" s="649">
        <v>65000</v>
      </c>
      <c r="G4" s="650">
        <v>570027</v>
      </c>
      <c r="H4" s="648" t="s">
        <v>42</v>
      </c>
      <c r="I4" s="84" t="s">
        <v>2</v>
      </c>
      <c r="J4" s="699">
        <v>47.628</v>
      </c>
      <c r="K4" s="552">
        <v>20000</v>
      </c>
      <c r="L4" s="552">
        <v>952552</v>
      </c>
      <c r="O4" s="552">
        <v>17565200</v>
      </c>
    </row>
    <row r="5" spans="1:15" ht="12.75" customHeight="1">
      <c r="A5" s="653"/>
      <c r="B5" s="654"/>
      <c r="C5" s="655"/>
      <c r="D5" s="656"/>
      <c r="E5" s="657"/>
      <c r="F5" s="658"/>
      <c r="G5" s="659"/>
      <c r="H5" s="648" t="s">
        <v>516</v>
      </c>
      <c r="I5" s="84" t="s">
        <v>2</v>
      </c>
      <c r="J5" s="99">
        <v>63</v>
      </c>
      <c r="K5" s="552">
        <v>67500</v>
      </c>
      <c r="L5" s="552">
        <f t="shared" si="1"/>
        <v>4252500</v>
      </c>
      <c r="O5" s="552">
        <v>400000</v>
      </c>
    </row>
    <row r="6" spans="1:15" ht="12.75" customHeight="1">
      <c r="A6" s="660" t="s">
        <v>517</v>
      </c>
      <c r="B6" s="660"/>
      <c r="C6" s="648" t="s">
        <v>38</v>
      </c>
      <c r="D6" s="84" t="s">
        <v>2</v>
      </c>
      <c r="E6" s="99">
        <v>21</v>
      </c>
      <c r="F6" s="649">
        <v>50000</v>
      </c>
      <c r="G6" s="650">
        <f t="shared" si="0"/>
        <v>1050000</v>
      </c>
      <c r="H6" s="648" t="s">
        <v>518</v>
      </c>
      <c r="I6" s="84" t="s">
        <v>37</v>
      </c>
      <c r="J6" s="99">
        <f>E11+E16+E39</f>
        <v>500</v>
      </c>
      <c r="K6" s="694">
        <v>8500</v>
      </c>
      <c r="L6" s="695">
        <f t="shared" si="1"/>
        <v>4250000</v>
      </c>
      <c r="O6" s="552">
        <v>200000</v>
      </c>
    </row>
    <row r="7" spans="1:15" ht="12.75" customHeight="1">
      <c r="A7" s="687"/>
      <c r="B7" s="654"/>
      <c r="C7" s="655"/>
      <c r="D7" s="656"/>
      <c r="E7" s="657"/>
      <c r="F7" s="658"/>
      <c r="G7" s="659"/>
      <c r="H7" s="648" t="s">
        <v>520</v>
      </c>
      <c r="I7" s="84" t="s">
        <v>37</v>
      </c>
      <c r="J7" s="99">
        <f>E17+E40</f>
        <v>199</v>
      </c>
      <c r="K7" s="694">
        <v>12000</v>
      </c>
      <c r="L7" s="695">
        <f t="shared" si="1"/>
        <v>2388000</v>
      </c>
      <c r="O7" s="552">
        <v>3607975</v>
      </c>
    </row>
    <row r="8" spans="1:15" ht="12.75" customHeight="1">
      <c r="A8" s="647" t="s">
        <v>505</v>
      </c>
      <c r="B8" s="647"/>
      <c r="C8" s="648" t="s">
        <v>514</v>
      </c>
      <c r="D8" s="84" t="s">
        <v>23</v>
      </c>
      <c r="E8" s="99">
        <v>67</v>
      </c>
      <c r="F8" s="649">
        <f>F2</f>
        <v>23000</v>
      </c>
      <c r="G8" s="650">
        <f t="shared" si="0"/>
        <v>1541000</v>
      </c>
      <c r="H8" s="648" t="s">
        <v>521</v>
      </c>
      <c r="I8" s="84" t="s">
        <v>37</v>
      </c>
      <c r="J8" s="99">
        <f>E18+E41</f>
        <v>232</v>
      </c>
      <c r="K8" s="694">
        <v>19500</v>
      </c>
      <c r="L8" s="695">
        <f t="shared" si="1"/>
        <v>4524000</v>
      </c>
      <c r="O8" s="552">
        <v>400000</v>
      </c>
    </row>
    <row r="9" spans="1:15" ht="12.75" customHeight="1">
      <c r="A9" s="651"/>
      <c r="B9" s="651"/>
      <c r="C9" s="648" t="s">
        <v>515</v>
      </c>
      <c r="D9" s="84" t="s">
        <v>2</v>
      </c>
      <c r="E9" s="99">
        <v>7</v>
      </c>
      <c r="F9" s="649">
        <f>F3</f>
        <v>20000</v>
      </c>
      <c r="G9" s="650">
        <f t="shared" si="0"/>
        <v>140000</v>
      </c>
      <c r="H9" s="648" t="s">
        <v>522</v>
      </c>
      <c r="I9" s="84" t="s">
        <v>37</v>
      </c>
      <c r="J9" s="99">
        <f>E19+E42</f>
        <v>89</v>
      </c>
      <c r="K9" s="694">
        <v>26700</v>
      </c>
      <c r="L9" s="695">
        <f t="shared" si="1"/>
        <v>2376300</v>
      </c>
      <c r="O9" s="552">
        <v>175000</v>
      </c>
    </row>
    <row r="10" spans="1:15" ht="12.75" customHeight="1">
      <c r="A10" s="651"/>
      <c r="B10" s="651"/>
      <c r="C10" s="648" t="s">
        <v>516</v>
      </c>
      <c r="D10" s="84" t="s">
        <v>2</v>
      </c>
      <c r="E10" s="99">
        <v>10</v>
      </c>
      <c r="F10" s="649">
        <f>F4</f>
        <v>65000</v>
      </c>
      <c r="G10" s="650">
        <f t="shared" si="0"/>
        <v>650000</v>
      </c>
      <c r="H10" s="648" t="s">
        <v>523</v>
      </c>
      <c r="I10" s="84" t="s">
        <v>37</v>
      </c>
      <c r="J10" s="99">
        <f>E20+E43</f>
        <v>13</v>
      </c>
      <c r="K10" s="694">
        <v>58000</v>
      </c>
      <c r="L10" s="695">
        <f t="shared" si="1"/>
        <v>754000</v>
      </c>
      <c r="M10" s="673"/>
      <c r="O10" s="552">
        <v>1771000</v>
      </c>
    </row>
    <row r="11" spans="1:15" ht="12.75" customHeight="1">
      <c r="A11" s="652"/>
      <c r="B11" s="652"/>
      <c r="C11" s="648" t="s">
        <v>518</v>
      </c>
      <c r="D11" s="84" t="s">
        <v>37</v>
      </c>
      <c r="E11" s="99">
        <v>115</v>
      </c>
      <c r="F11" s="649">
        <f>F16</f>
        <v>8000</v>
      </c>
      <c r="G11" s="650">
        <f t="shared" si="0"/>
        <v>920000</v>
      </c>
      <c r="H11" s="648" t="s">
        <v>45</v>
      </c>
      <c r="I11" s="84" t="s">
        <v>8</v>
      </c>
      <c r="J11" s="99">
        <f>E23+E44</f>
        <v>85</v>
      </c>
      <c r="K11" s="552">
        <v>5000</v>
      </c>
      <c r="L11" s="552">
        <f t="shared" si="1"/>
        <v>425000</v>
      </c>
      <c r="O11" s="552">
        <v>400000</v>
      </c>
    </row>
    <row r="12" spans="1:15" ht="12.75" customHeight="1">
      <c r="A12" s="687"/>
      <c r="B12" s="654"/>
      <c r="C12" s="655"/>
      <c r="D12" s="656"/>
      <c r="E12" s="657"/>
      <c r="F12" s="658"/>
      <c r="G12" s="659"/>
      <c r="H12" s="648" t="s">
        <v>525</v>
      </c>
      <c r="I12" s="84" t="s">
        <v>12</v>
      </c>
      <c r="J12" s="99">
        <v>750</v>
      </c>
      <c r="K12" s="552">
        <v>4000</v>
      </c>
      <c r="L12" s="552">
        <f t="shared" si="1"/>
        <v>3000000</v>
      </c>
      <c r="O12" s="552">
        <v>6255052</v>
      </c>
    </row>
    <row r="13" spans="1:15" ht="12.75" customHeight="1">
      <c r="A13" s="647" t="s">
        <v>531</v>
      </c>
      <c r="B13" s="647"/>
      <c r="C13" s="648" t="s">
        <v>524</v>
      </c>
      <c r="D13" s="84" t="s">
        <v>23</v>
      </c>
      <c r="E13" s="99">
        <v>183</v>
      </c>
      <c r="F13" s="649">
        <v>28000</v>
      </c>
      <c r="G13" s="650">
        <f t="shared" si="0"/>
        <v>5124000</v>
      </c>
      <c r="H13" s="648" t="s">
        <v>96</v>
      </c>
      <c r="I13" s="84" t="s">
        <v>12</v>
      </c>
      <c r="J13" s="99">
        <v>750</v>
      </c>
      <c r="K13" s="552">
        <v>3200</v>
      </c>
      <c r="L13" s="552">
        <f t="shared" si="1"/>
        <v>2400000</v>
      </c>
      <c r="O13" s="552">
        <v>8261100</v>
      </c>
    </row>
    <row r="14" spans="1:15" ht="12.75" customHeight="1">
      <c r="A14" s="651"/>
      <c r="B14" s="651"/>
      <c r="C14" s="648" t="s">
        <v>515</v>
      </c>
      <c r="D14" s="84" t="s">
        <v>2</v>
      </c>
      <c r="E14" s="99">
        <v>20</v>
      </c>
      <c r="F14" s="649">
        <f>F3</f>
        <v>20000</v>
      </c>
      <c r="G14" s="650">
        <f t="shared" si="0"/>
        <v>400000</v>
      </c>
      <c r="H14" s="648" t="s">
        <v>526</v>
      </c>
      <c r="I14" s="84" t="s">
        <v>8</v>
      </c>
      <c r="J14" s="99">
        <v>15</v>
      </c>
      <c r="K14" s="552">
        <v>5000</v>
      </c>
      <c r="L14" s="552">
        <f t="shared" si="1"/>
        <v>75000</v>
      </c>
      <c r="O14" s="552">
        <v>400000</v>
      </c>
    </row>
    <row r="15" spans="1:15" ht="12.75" customHeight="1">
      <c r="A15" s="651"/>
      <c r="B15" s="651"/>
      <c r="C15" s="648" t="s">
        <v>516</v>
      </c>
      <c r="D15" s="84" t="s">
        <v>2</v>
      </c>
      <c r="E15" s="99">
        <v>25</v>
      </c>
      <c r="F15" s="649">
        <f>F4</f>
        <v>65000</v>
      </c>
      <c r="G15" s="650">
        <f t="shared" si="0"/>
        <v>1625000</v>
      </c>
      <c r="H15" s="648" t="s">
        <v>77</v>
      </c>
      <c r="I15" s="84" t="s">
        <v>8</v>
      </c>
      <c r="J15" s="99">
        <v>20</v>
      </c>
      <c r="K15" s="552">
        <v>5000</v>
      </c>
      <c r="L15" s="552">
        <f t="shared" si="1"/>
        <v>100000</v>
      </c>
      <c r="O15" s="696">
        <f>SUM(O1:O14)</f>
        <v>45635327</v>
      </c>
    </row>
    <row r="16" spans="1:15" ht="12.75" customHeight="1">
      <c r="A16" s="651"/>
      <c r="B16" s="651"/>
      <c r="C16" s="648" t="s">
        <v>518</v>
      </c>
      <c r="D16" s="84" t="s">
        <v>37</v>
      </c>
      <c r="E16" s="99">
        <v>88</v>
      </c>
      <c r="F16" s="649">
        <v>8000</v>
      </c>
      <c r="G16" s="650">
        <f t="shared" si="0"/>
        <v>704000</v>
      </c>
      <c r="H16" s="648" t="s">
        <v>50</v>
      </c>
      <c r="I16" s="84" t="s">
        <v>8</v>
      </c>
      <c r="J16" s="99">
        <v>40</v>
      </c>
      <c r="K16" s="552">
        <v>5000</v>
      </c>
      <c r="L16" s="552">
        <f t="shared" si="1"/>
        <v>200000</v>
      </c>
      <c r="O16" s="696"/>
    </row>
    <row r="17" spans="1:15" ht="12.75" customHeight="1">
      <c r="A17" s="651"/>
      <c r="B17" s="651"/>
      <c r="C17" s="648" t="s">
        <v>520</v>
      </c>
      <c r="D17" s="84" t="s">
        <v>37</v>
      </c>
      <c r="E17" s="99">
        <v>15</v>
      </c>
      <c r="F17" s="649">
        <v>12000</v>
      </c>
      <c r="G17" s="650">
        <f t="shared" si="0"/>
        <v>180000</v>
      </c>
      <c r="H17" s="648" t="s">
        <v>38</v>
      </c>
      <c r="I17" s="84" t="s">
        <v>2</v>
      </c>
      <c r="J17" s="99">
        <v>21</v>
      </c>
      <c r="K17" s="552">
        <v>50000</v>
      </c>
      <c r="L17" s="552">
        <f t="shared" si="1"/>
        <v>1050000</v>
      </c>
      <c r="O17" s="696">
        <v>15600000</v>
      </c>
    </row>
    <row r="18" spans="1:15" ht="12.75" customHeight="1">
      <c r="A18" s="651"/>
      <c r="B18" s="651"/>
      <c r="C18" s="648" t="s">
        <v>521</v>
      </c>
      <c r="D18" s="84" t="s">
        <v>37</v>
      </c>
      <c r="E18" s="99">
        <v>67</v>
      </c>
      <c r="F18" s="649">
        <v>19500</v>
      </c>
      <c r="G18" s="650">
        <f t="shared" si="0"/>
        <v>1306500</v>
      </c>
      <c r="H18" s="648" t="s">
        <v>63</v>
      </c>
      <c r="I18" s="84" t="s">
        <v>2</v>
      </c>
      <c r="J18" s="671">
        <v>8</v>
      </c>
      <c r="K18" s="552">
        <v>30000</v>
      </c>
      <c r="L18" s="552">
        <f t="shared" si="1"/>
        <v>240000</v>
      </c>
    </row>
    <row r="19" spans="1:15" ht="12.75" customHeight="1">
      <c r="A19" s="651"/>
      <c r="B19" s="651"/>
      <c r="C19" s="648" t="s">
        <v>522</v>
      </c>
      <c r="D19" s="84" t="s">
        <v>37</v>
      </c>
      <c r="E19" s="99">
        <v>40</v>
      </c>
      <c r="F19" s="649">
        <v>26700</v>
      </c>
      <c r="G19" s="650">
        <f t="shared" si="0"/>
        <v>1068000</v>
      </c>
      <c r="H19" s="648" t="s">
        <v>202</v>
      </c>
      <c r="I19" s="84" t="s">
        <v>12</v>
      </c>
      <c r="J19" s="99">
        <v>51815</v>
      </c>
      <c r="K19" s="552">
        <v>65</v>
      </c>
      <c r="L19" s="552">
        <f t="shared" si="1"/>
        <v>3367975</v>
      </c>
    </row>
    <row r="20" spans="1:15" ht="12.75" customHeight="1">
      <c r="A20" s="651"/>
      <c r="B20" s="651"/>
      <c r="C20" s="648" t="s">
        <v>523</v>
      </c>
      <c r="D20" s="84" t="s">
        <v>37</v>
      </c>
      <c r="E20" s="99">
        <v>13</v>
      </c>
      <c r="F20" s="649">
        <v>57000</v>
      </c>
      <c r="G20" s="650">
        <f t="shared" si="0"/>
        <v>741000</v>
      </c>
      <c r="L20" s="696">
        <f>SUM(L2:L19)</f>
        <v>43235327</v>
      </c>
      <c r="M20" s="698"/>
      <c r="O20" s="552">
        <f>SUM(O15+O17)</f>
        <v>61235327</v>
      </c>
    </row>
    <row r="21" spans="1:15" ht="12.75" customHeight="1">
      <c r="A21" s="651"/>
      <c r="B21" s="651"/>
      <c r="C21" s="648"/>
      <c r="D21" s="84"/>
      <c r="E21" s="99"/>
      <c r="F21" s="649"/>
      <c r="G21" s="650"/>
    </row>
    <row r="22" spans="1:15" ht="12.75" customHeight="1">
      <c r="A22" s="651"/>
      <c r="B22" s="651"/>
      <c r="C22" s="648"/>
      <c r="D22" s="84"/>
      <c r="E22" s="99"/>
      <c r="F22" s="649"/>
      <c r="G22" s="650"/>
    </row>
    <row r="23" spans="1:15" ht="12.75" customHeight="1">
      <c r="A23" s="651"/>
      <c r="B23" s="651"/>
      <c r="C23" s="648" t="s">
        <v>45</v>
      </c>
      <c r="D23" s="84" t="s">
        <v>8</v>
      </c>
      <c r="E23" s="99">
        <v>35</v>
      </c>
      <c r="F23" s="649">
        <v>5000</v>
      </c>
      <c r="G23" s="650">
        <f t="shared" si="0"/>
        <v>175000</v>
      </c>
      <c r="H23" s="660" t="s">
        <v>529</v>
      </c>
      <c r="I23" s="99" t="s">
        <v>12</v>
      </c>
      <c r="J23" s="671">
        <v>6</v>
      </c>
      <c r="K23" s="552">
        <v>400000</v>
      </c>
      <c r="L23" s="552">
        <f t="shared" si="1"/>
        <v>2400000</v>
      </c>
    </row>
    <row r="24" spans="1:15" ht="12.75" customHeight="1">
      <c r="A24" s="651"/>
      <c r="B24" s="651"/>
      <c r="C24" s="648" t="s">
        <v>525</v>
      </c>
      <c r="D24" s="84" t="s">
        <v>12</v>
      </c>
      <c r="E24" s="99">
        <v>150</v>
      </c>
      <c r="F24" s="649">
        <v>4000</v>
      </c>
      <c r="G24" s="650">
        <f t="shared" si="0"/>
        <v>600000</v>
      </c>
      <c r="H24" s="675" t="s">
        <v>546</v>
      </c>
      <c r="I24" s="676" t="s">
        <v>129</v>
      </c>
      <c r="J24" s="99">
        <v>1</v>
      </c>
      <c r="K24" s="552">
        <v>15600000</v>
      </c>
      <c r="L24" s="552">
        <f t="shared" si="1"/>
        <v>15600000</v>
      </c>
    </row>
    <row r="25" spans="1:15" ht="12.75" customHeight="1">
      <c r="A25" s="651"/>
      <c r="B25" s="651"/>
      <c r="C25" s="648" t="s">
        <v>96</v>
      </c>
      <c r="D25" s="84" t="s">
        <v>12</v>
      </c>
      <c r="E25" s="99">
        <v>100</v>
      </c>
      <c r="F25" s="649">
        <v>3500</v>
      </c>
      <c r="G25" s="650">
        <f t="shared" si="0"/>
        <v>350000</v>
      </c>
      <c r="L25" s="696">
        <f>SUM(L23:L24)</f>
        <v>18000000</v>
      </c>
    </row>
    <row r="26" spans="1:15" ht="12.75" customHeight="1">
      <c r="A26" s="651"/>
      <c r="B26" s="651"/>
      <c r="C26" s="648" t="s">
        <v>526</v>
      </c>
      <c r="D26" s="84" t="s">
        <v>8</v>
      </c>
      <c r="E26" s="99">
        <v>5</v>
      </c>
      <c r="F26" s="649">
        <v>5000</v>
      </c>
      <c r="G26" s="650">
        <f t="shared" si="0"/>
        <v>25000</v>
      </c>
    </row>
    <row r="27" spans="1:15" ht="12.75" customHeight="1">
      <c r="A27" s="651"/>
      <c r="B27" s="651"/>
      <c r="C27" s="648" t="s">
        <v>77</v>
      </c>
      <c r="D27" s="84" t="s">
        <v>8</v>
      </c>
      <c r="E27" s="99">
        <v>10</v>
      </c>
      <c r="F27" s="649">
        <f>F26</f>
        <v>5000</v>
      </c>
      <c r="G27" s="650">
        <f t="shared" si="0"/>
        <v>50000</v>
      </c>
      <c r="L27" s="697">
        <f>L20+L25</f>
        <v>61235327</v>
      </c>
      <c r="M27" s="700"/>
    </row>
    <row r="28" spans="1:15" ht="12.75" customHeight="1">
      <c r="A28" s="652"/>
      <c r="B28" s="652"/>
      <c r="C28" s="648" t="s">
        <v>50</v>
      </c>
      <c r="D28" s="84" t="s">
        <v>8</v>
      </c>
      <c r="E28" s="99">
        <v>5</v>
      </c>
      <c r="F28" s="649">
        <f>F26</f>
        <v>5000</v>
      </c>
      <c r="G28" s="650">
        <f t="shared" si="0"/>
        <v>25000</v>
      </c>
    </row>
    <row r="29" spans="1:15" ht="12.75" customHeight="1">
      <c r="A29" s="662"/>
      <c r="B29" s="662"/>
      <c r="C29" s="663"/>
      <c r="D29" s="273"/>
      <c r="E29" s="664"/>
      <c r="F29" s="658"/>
      <c r="G29" s="665"/>
      <c r="J29" s="673"/>
    </row>
    <row r="30" spans="1:15" ht="12.75" customHeight="1">
      <c r="A30" s="660" t="s">
        <v>529</v>
      </c>
      <c r="B30" s="660"/>
      <c r="C30" s="648"/>
      <c r="D30" s="84" t="s">
        <v>530</v>
      </c>
      <c r="E30" s="99">
        <v>3</v>
      </c>
      <c r="F30" s="649">
        <v>450000</v>
      </c>
      <c r="G30" s="650">
        <f>E30*F30</f>
        <v>1350000</v>
      </c>
      <c r="J30" s="114"/>
    </row>
    <row r="31" spans="1:15" ht="15" customHeight="1">
      <c r="F31" s="509" t="s">
        <v>16</v>
      </c>
      <c r="G31" s="666">
        <f>SUM(G2:G30)</f>
        <v>19243527</v>
      </c>
      <c r="H31" s="601"/>
    </row>
    <row r="32" spans="1:15">
      <c r="H32" s="482"/>
    </row>
    <row r="33" spans="1:8">
      <c r="A33" s="672" t="s">
        <v>527</v>
      </c>
    </row>
    <row r="35" spans="1:8" ht="18" customHeight="1">
      <c r="A35" s="667" t="s">
        <v>31</v>
      </c>
      <c r="B35" s="509" t="s">
        <v>32</v>
      </c>
      <c r="C35" s="509" t="s">
        <v>34</v>
      </c>
      <c r="D35" s="509" t="s">
        <v>114</v>
      </c>
      <c r="E35" s="509" t="s">
        <v>32</v>
      </c>
      <c r="F35" s="509" t="s">
        <v>512</v>
      </c>
      <c r="G35" s="509" t="s">
        <v>33</v>
      </c>
      <c r="H35" s="668"/>
    </row>
    <row r="36" spans="1:8" ht="12.75" customHeight="1">
      <c r="A36" s="647" t="s">
        <v>519</v>
      </c>
      <c r="B36" s="647"/>
      <c r="C36" s="648" t="s">
        <v>524</v>
      </c>
      <c r="D36" s="84" t="s">
        <v>23</v>
      </c>
      <c r="E36" s="99">
        <v>185</v>
      </c>
      <c r="F36" s="649">
        <f>F13</f>
        <v>28000</v>
      </c>
      <c r="G36" s="650">
        <f>E36*F36</f>
        <v>5180000</v>
      </c>
    </row>
    <row r="37" spans="1:8" ht="12.75" customHeight="1">
      <c r="A37" s="651"/>
      <c r="B37" s="651"/>
      <c r="C37" s="648" t="s">
        <v>515</v>
      </c>
      <c r="D37" s="84" t="s">
        <v>2</v>
      </c>
      <c r="E37" s="99">
        <v>13</v>
      </c>
      <c r="F37" s="649">
        <f>F3</f>
        <v>20000</v>
      </c>
      <c r="G37" s="650">
        <f t="shared" ref="G37:G53" si="2">E37*F37</f>
        <v>260000</v>
      </c>
    </row>
    <row r="38" spans="1:8" ht="12.75" customHeight="1">
      <c r="A38" s="651"/>
      <c r="B38" s="651"/>
      <c r="C38" s="648" t="s">
        <v>516</v>
      </c>
      <c r="D38" s="84" t="s">
        <v>2</v>
      </c>
      <c r="E38" s="99">
        <v>19</v>
      </c>
      <c r="F38" s="649">
        <f>F10</f>
        <v>65000</v>
      </c>
      <c r="G38" s="650">
        <f t="shared" si="2"/>
        <v>1235000</v>
      </c>
    </row>
    <row r="39" spans="1:8" ht="12.75" customHeight="1">
      <c r="A39" s="651"/>
      <c r="B39" s="651"/>
      <c r="C39" s="648" t="s">
        <v>518</v>
      </c>
      <c r="D39" s="84" t="s">
        <v>37</v>
      </c>
      <c r="E39" s="99">
        <v>297</v>
      </c>
      <c r="F39" s="649">
        <f>F16</f>
        <v>8000</v>
      </c>
      <c r="G39" s="650">
        <f t="shared" si="2"/>
        <v>2376000</v>
      </c>
      <c r="H39" s="669"/>
    </row>
    <row r="40" spans="1:8" ht="12.75" customHeight="1">
      <c r="A40" s="651"/>
      <c r="B40" s="651"/>
      <c r="C40" s="648" t="s">
        <v>520</v>
      </c>
      <c r="D40" s="84" t="s">
        <v>37</v>
      </c>
      <c r="E40" s="99">
        <v>184</v>
      </c>
      <c r="F40" s="649">
        <f>F17</f>
        <v>12000</v>
      </c>
      <c r="G40" s="650">
        <f t="shared" si="2"/>
        <v>2208000</v>
      </c>
    </row>
    <row r="41" spans="1:8" ht="12.75" customHeight="1">
      <c r="A41" s="651"/>
      <c r="B41" s="651"/>
      <c r="C41" s="648" t="s">
        <v>521</v>
      </c>
      <c r="D41" s="84" t="s">
        <v>37</v>
      </c>
      <c r="E41" s="99">
        <v>165</v>
      </c>
      <c r="F41" s="649">
        <f>F18</f>
        <v>19500</v>
      </c>
      <c r="G41" s="650">
        <f t="shared" si="2"/>
        <v>3217500</v>
      </c>
    </row>
    <row r="42" spans="1:8" ht="12.75" customHeight="1">
      <c r="A42" s="651"/>
      <c r="B42" s="651"/>
      <c r="C42" s="648" t="s">
        <v>522</v>
      </c>
      <c r="D42" s="84" t="s">
        <v>37</v>
      </c>
      <c r="E42" s="99">
        <v>49</v>
      </c>
      <c r="F42" s="649">
        <f>F19</f>
        <v>26700</v>
      </c>
      <c r="G42" s="650">
        <f t="shared" si="2"/>
        <v>1308300</v>
      </c>
    </row>
    <row r="43" spans="1:8" ht="12.75" customHeight="1">
      <c r="A43" s="651"/>
      <c r="B43" s="651"/>
      <c r="C43" s="648" t="s">
        <v>523</v>
      </c>
      <c r="D43" s="84" t="s">
        <v>37</v>
      </c>
      <c r="E43" s="99"/>
      <c r="F43" s="649">
        <f>F20</f>
        <v>57000</v>
      </c>
      <c r="G43" s="650">
        <f t="shared" si="2"/>
        <v>0</v>
      </c>
    </row>
    <row r="44" spans="1:8" ht="12.75" customHeight="1">
      <c r="A44" s="651"/>
      <c r="B44" s="651"/>
      <c r="C44" s="648" t="s">
        <v>45</v>
      </c>
      <c r="D44" s="84" t="s">
        <v>8</v>
      </c>
      <c r="E44" s="99">
        <v>50</v>
      </c>
      <c r="F44" s="649">
        <v>5000</v>
      </c>
      <c r="G44" s="650">
        <f t="shared" ref="G44" si="3">+E44*F44</f>
        <v>250000</v>
      </c>
    </row>
    <row r="45" spans="1:8" ht="12.75" customHeight="1">
      <c r="A45" s="651"/>
      <c r="B45" s="651"/>
      <c r="C45" s="648" t="s">
        <v>525</v>
      </c>
      <c r="D45" s="84" t="s">
        <v>12</v>
      </c>
      <c r="E45" s="99">
        <v>650</v>
      </c>
      <c r="F45" s="649">
        <f>F24</f>
        <v>4000</v>
      </c>
      <c r="G45" s="650">
        <f t="shared" si="2"/>
        <v>2600000</v>
      </c>
    </row>
    <row r="46" spans="1:8" ht="12.75" customHeight="1">
      <c r="A46" s="651"/>
      <c r="B46" s="651"/>
      <c r="C46" s="648" t="s">
        <v>96</v>
      </c>
      <c r="D46" s="84" t="s">
        <v>12</v>
      </c>
      <c r="E46" s="99">
        <v>700</v>
      </c>
      <c r="F46" s="649">
        <f>+F25</f>
        <v>3500</v>
      </c>
      <c r="G46" s="650">
        <f t="shared" si="2"/>
        <v>2450000</v>
      </c>
    </row>
    <row r="47" spans="1:8" ht="12.75" customHeight="1">
      <c r="A47" s="651"/>
      <c r="B47" s="651"/>
      <c r="C47" s="648" t="s">
        <v>526</v>
      </c>
      <c r="D47" s="84" t="s">
        <v>8</v>
      </c>
      <c r="E47" s="99">
        <v>10</v>
      </c>
      <c r="F47" s="649">
        <f>F26</f>
        <v>5000</v>
      </c>
      <c r="G47" s="650">
        <f t="shared" si="2"/>
        <v>50000</v>
      </c>
    </row>
    <row r="48" spans="1:8" ht="12.75" customHeight="1">
      <c r="A48" s="651"/>
      <c r="B48" s="651"/>
      <c r="C48" s="648" t="s">
        <v>77</v>
      </c>
      <c r="D48" s="84" t="s">
        <v>8</v>
      </c>
      <c r="E48" s="99">
        <v>10</v>
      </c>
      <c r="F48" s="649">
        <f>F26</f>
        <v>5000</v>
      </c>
      <c r="G48" s="650">
        <f t="shared" si="2"/>
        <v>50000</v>
      </c>
    </row>
    <row r="49" spans="1:9" ht="12.75" customHeight="1">
      <c r="A49" s="652"/>
      <c r="B49" s="652"/>
      <c r="C49" s="648" t="s">
        <v>50</v>
      </c>
      <c r="D49" s="84" t="s">
        <v>8</v>
      </c>
      <c r="E49" s="99">
        <v>35</v>
      </c>
      <c r="F49" s="649">
        <f>F28</f>
        <v>5000</v>
      </c>
      <c r="G49" s="650">
        <f t="shared" si="2"/>
        <v>175000</v>
      </c>
    </row>
    <row r="50" spans="1:9" ht="12.75" customHeight="1">
      <c r="A50" s="687"/>
      <c r="B50" s="654"/>
      <c r="C50" s="655"/>
      <c r="D50" s="656"/>
      <c r="E50" s="670"/>
      <c r="F50" s="658"/>
      <c r="G50" s="659"/>
    </row>
    <row r="51" spans="1:9" ht="12.75" customHeight="1">
      <c r="A51" s="647" t="s">
        <v>528</v>
      </c>
      <c r="B51" s="647"/>
      <c r="C51" s="648" t="s">
        <v>202</v>
      </c>
      <c r="D51" s="84" t="s">
        <v>12</v>
      </c>
      <c r="E51" s="99">
        <v>47200</v>
      </c>
      <c r="F51" s="649">
        <v>70</v>
      </c>
      <c r="G51" s="650">
        <f t="shared" si="2"/>
        <v>3304000</v>
      </c>
    </row>
    <row r="52" spans="1:9" ht="12.75" customHeight="1">
      <c r="A52" s="651"/>
      <c r="B52" s="651"/>
      <c r="C52" s="648" t="s">
        <v>514</v>
      </c>
      <c r="D52" s="84" t="s">
        <v>23</v>
      </c>
      <c r="E52" s="671">
        <v>6</v>
      </c>
      <c r="F52" s="649">
        <f>F2</f>
        <v>23000</v>
      </c>
      <c r="G52" s="650">
        <f t="shared" si="2"/>
        <v>138000</v>
      </c>
    </row>
    <row r="53" spans="1:9" ht="12.75" customHeight="1">
      <c r="A53" s="652"/>
      <c r="B53" s="652"/>
      <c r="C53" s="648" t="s">
        <v>63</v>
      </c>
      <c r="D53" s="84" t="s">
        <v>2</v>
      </c>
      <c r="E53" s="671">
        <v>8</v>
      </c>
      <c r="F53" s="649">
        <v>30000</v>
      </c>
      <c r="G53" s="650">
        <f t="shared" si="2"/>
        <v>240000</v>
      </c>
    </row>
    <row r="54" spans="1:9" ht="12.75" customHeight="1">
      <c r="A54" s="662"/>
      <c r="B54" s="662"/>
      <c r="C54" s="663"/>
      <c r="D54" s="273"/>
      <c r="E54" s="664"/>
      <c r="F54" s="658"/>
      <c r="G54" s="665"/>
    </row>
    <row r="55" spans="1:9" ht="12.75" customHeight="1">
      <c r="A55" s="660" t="s">
        <v>529</v>
      </c>
      <c r="B55" s="660"/>
      <c r="C55" s="648"/>
      <c r="D55" s="84" t="s">
        <v>530</v>
      </c>
      <c r="E55" s="99">
        <v>3</v>
      </c>
      <c r="F55" s="649">
        <v>450000</v>
      </c>
      <c r="G55" s="650">
        <f>E55*F55</f>
        <v>1350000</v>
      </c>
    </row>
    <row r="56" spans="1:9" ht="12.75" customHeight="1">
      <c r="F56" s="509" t="s">
        <v>16</v>
      </c>
      <c r="G56" s="666">
        <f>SUM(G36:G55)</f>
        <v>26391800</v>
      </c>
    </row>
    <row r="57" spans="1:9" ht="12.75" customHeight="1"/>
    <row r="58" spans="1:9" ht="12.75" customHeight="1">
      <c r="A58" s="800" t="s">
        <v>532</v>
      </c>
      <c r="B58" s="801"/>
      <c r="C58" s="648"/>
      <c r="D58" s="84" t="s">
        <v>533</v>
      </c>
      <c r="E58" s="99">
        <v>1</v>
      </c>
      <c r="F58" s="649">
        <v>15600000</v>
      </c>
      <c r="G58" s="650">
        <f>E58*F58</f>
        <v>15600000</v>
      </c>
    </row>
    <row r="59" spans="1:9" ht="12.75" customHeight="1">
      <c r="F59" s="509" t="s">
        <v>16</v>
      </c>
      <c r="G59" s="666">
        <f>SUM(G58)</f>
        <v>15600000</v>
      </c>
    </row>
    <row r="61" spans="1:9" ht="18" customHeight="1">
      <c r="E61" s="798" t="s">
        <v>64</v>
      </c>
      <c r="F61" s="799"/>
      <c r="G61" s="674">
        <f>SUM(G31+G56+G59)</f>
        <v>61235327</v>
      </c>
      <c r="I61" s="673"/>
    </row>
    <row r="62" spans="1:9">
      <c r="G62" s="552"/>
      <c r="H62" s="673"/>
    </row>
  </sheetData>
  <mergeCells count="2">
    <mergeCell ref="A58:B58"/>
    <mergeCell ref="E61:F61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37"/>
  <sheetViews>
    <sheetView topLeftCell="F1" workbookViewId="0">
      <selection activeCell="Y35" sqref="Y35"/>
    </sheetView>
  </sheetViews>
  <sheetFormatPr baseColWidth="10" defaultRowHeight="12.75"/>
  <cols>
    <col min="1" max="1" width="8.28515625" customWidth="1"/>
    <col min="2" max="2" width="5.85546875" customWidth="1"/>
    <col min="3" max="3" width="7.7109375" customWidth="1"/>
    <col min="4" max="4" width="6.7109375" customWidth="1"/>
    <col min="5" max="5" width="8" customWidth="1"/>
    <col min="6" max="6" width="4.7109375" customWidth="1"/>
    <col min="7" max="7" width="8.28515625" customWidth="1"/>
    <col min="8" max="8" width="5.7109375" customWidth="1"/>
    <col min="9" max="9" width="7.7109375" customWidth="1"/>
    <col min="10" max="10" width="6.7109375" customWidth="1"/>
    <col min="11" max="11" width="8" customWidth="1"/>
    <col min="12" max="12" width="4.7109375" customWidth="1"/>
    <col min="13" max="13" width="8.28515625" customWidth="1"/>
    <col min="14" max="14" width="5.85546875" customWidth="1"/>
    <col min="15" max="15" width="7.7109375" customWidth="1"/>
    <col min="16" max="16" width="6.7109375" customWidth="1"/>
    <col min="17" max="17" width="8" customWidth="1"/>
    <col min="18" max="18" width="4.7109375" customWidth="1"/>
    <col min="19" max="19" width="8.28515625" customWidth="1"/>
    <col min="20" max="20" width="5.85546875" customWidth="1"/>
    <col min="21" max="21" width="7.7109375" customWidth="1"/>
    <col min="22" max="22" width="6.7109375" customWidth="1"/>
    <col min="23" max="23" width="8" customWidth="1"/>
    <col min="24" max="24" width="4.7109375" customWidth="1"/>
    <col min="25" max="25" width="8.28515625" customWidth="1"/>
    <col min="26" max="26" width="5.85546875" customWidth="1"/>
    <col min="27" max="27" width="7.7109375" customWidth="1"/>
    <col min="28" max="28" width="6.7109375" customWidth="1"/>
    <col min="29" max="29" width="8" customWidth="1"/>
  </cols>
  <sheetData>
    <row r="1" spans="1:29" ht="21" customHeight="1">
      <c r="A1" s="507" t="s">
        <v>402</v>
      </c>
      <c r="B1" s="507"/>
      <c r="C1" s="213"/>
      <c r="G1" s="507" t="s">
        <v>534</v>
      </c>
      <c r="H1" s="507"/>
      <c r="I1" s="213"/>
      <c r="M1" s="507" t="s">
        <v>534</v>
      </c>
      <c r="N1" s="507"/>
      <c r="O1" s="213"/>
      <c r="S1" s="507" t="s">
        <v>534</v>
      </c>
      <c r="T1" s="507"/>
      <c r="U1" s="213"/>
      <c r="Y1" s="507" t="s">
        <v>534</v>
      </c>
      <c r="Z1" s="507"/>
      <c r="AA1" s="213"/>
    </row>
    <row r="2" spans="1:29" ht="21" customHeight="1">
      <c r="A2" s="421"/>
      <c r="B2" s="421"/>
      <c r="C2" s="213"/>
      <c r="G2" s="421"/>
      <c r="H2" s="421"/>
      <c r="I2" s="213"/>
      <c r="M2" s="421"/>
      <c r="N2" s="421"/>
      <c r="O2" s="213"/>
      <c r="S2" s="421"/>
      <c r="T2" s="421"/>
      <c r="U2" s="213"/>
      <c r="Y2" s="421"/>
      <c r="Z2" s="421"/>
      <c r="AA2" s="213"/>
    </row>
    <row r="3" spans="1:29" s="113" customFormat="1" ht="21" customHeight="1">
      <c r="A3" s="509" t="s">
        <v>385</v>
      </c>
      <c r="B3" s="544" t="s">
        <v>496</v>
      </c>
      <c r="C3" s="510" t="s">
        <v>386</v>
      </c>
      <c r="D3" s="509" t="s">
        <v>387</v>
      </c>
      <c r="E3" s="510" t="s">
        <v>16</v>
      </c>
      <c r="G3" s="509" t="s">
        <v>385</v>
      </c>
      <c r="H3" s="544" t="s">
        <v>496</v>
      </c>
      <c r="I3" s="510" t="s">
        <v>386</v>
      </c>
      <c r="J3" s="509" t="s">
        <v>387</v>
      </c>
      <c r="K3" s="510" t="s">
        <v>16</v>
      </c>
      <c r="L3" s="512"/>
      <c r="M3" s="509" t="s">
        <v>385</v>
      </c>
      <c r="N3" s="544" t="s">
        <v>496</v>
      </c>
      <c r="O3" s="510" t="s">
        <v>386</v>
      </c>
      <c r="P3" s="509" t="s">
        <v>387</v>
      </c>
      <c r="Q3" s="510" t="s">
        <v>16</v>
      </c>
      <c r="S3" s="509" t="s">
        <v>385</v>
      </c>
      <c r="T3" s="544" t="s">
        <v>496</v>
      </c>
      <c r="U3" s="510" t="s">
        <v>386</v>
      </c>
      <c r="V3" s="509" t="s">
        <v>387</v>
      </c>
      <c r="W3" s="510" t="s">
        <v>16</v>
      </c>
      <c r="Y3" s="509" t="s">
        <v>385</v>
      </c>
      <c r="Z3" s="544" t="s">
        <v>496</v>
      </c>
      <c r="AA3" s="510" t="s">
        <v>386</v>
      </c>
      <c r="AB3" s="509" t="s">
        <v>387</v>
      </c>
      <c r="AC3" s="510" t="s">
        <v>16</v>
      </c>
    </row>
    <row r="4" spans="1:29" s="113" customFormat="1" ht="18" customHeight="1">
      <c r="A4" s="84">
        <v>5</v>
      </c>
      <c r="B4" s="525" t="s">
        <v>392</v>
      </c>
      <c r="C4" s="526">
        <v>2.72</v>
      </c>
      <c r="D4" s="525">
        <v>3</v>
      </c>
      <c r="E4" s="526">
        <f t="shared" ref="E4:E26" si="0">+C4*D4</f>
        <v>8.16</v>
      </c>
      <c r="G4" s="84">
        <v>3</v>
      </c>
      <c r="H4" s="542" t="s">
        <v>391</v>
      </c>
      <c r="I4" s="543">
        <v>1.02</v>
      </c>
      <c r="J4" s="542">
        <v>3</v>
      </c>
      <c r="K4" s="543">
        <f t="shared" ref="K4:K19" si="1">+I4*J4</f>
        <v>3.06</v>
      </c>
      <c r="L4" s="517"/>
      <c r="M4" s="84">
        <v>2</v>
      </c>
      <c r="N4" s="540" t="s">
        <v>393</v>
      </c>
      <c r="O4" s="541">
        <v>3</v>
      </c>
      <c r="P4" s="540">
        <v>2</v>
      </c>
      <c r="Q4" s="541">
        <f t="shared" ref="Q4:Q13" si="2">+O4*P4</f>
        <v>6</v>
      </c>
      <c r="S4" s="84">
        <v>1</v>
      </c>
      <c r="T4" s="521" t="s">
        <v>390</v>
      </c>
      <c r="U4" s="522">
        <v>4.24</v>
      </c>
      <c r="V4" s="521">
        <v>3</v>
      </c>
      <c r="W4" s="522">
        <f>+U4*V4</f>
        <v>12.72</v>
      </c>
      <c r="Y4" s="84">
        <v>22</v>
      </c>
      <c r="Z4" s="538" t="s">
        <v>494</v>
      </c>
      <c r="AA4" s="539"/>
      <c r="AB4" s="538"/>
      <c r="AC4" s="539"/>
    </row>
    <row r="5" spans="1:29" s="113" customFormat="1" ht="18" customHeight="1">
      <c r="A5" s="84">
        <v>6</v>
      </c>
      <c r="B5" s="525" t="s">
        <v>392</v>
      </c>
      <c r="C5" s="526">
        <v>1.1000000000000001</v>
      </c>
      <c r="D5" s="525">
        <v>24</v>
      </c>
      <c r="E5" s="526">
        <f t="shared" si="0"/>
        <v>26.400000000000002</v>
      </c>
      <c r="G5" s="84">
        <v>4</v>
      </c>
      <c r="H5" s="542" t="s">
        <v>391</v>
      </c>
      <c r="I5" s="543">
        <v>1.02</v>
      </c>
      <c r="J5" s="542">
        <v>3</v>
      </c>
      <c r="K5" s="543">
        <f t="shared" si="1"/>
        <v>3.06</v>
      </c>
      <c r="L5" s="512"/>
      <c r="M5" s="84">
        <v>8</v>
      </c>
      <c r="N5" s="540" t="s">
        <v>393</v>
      </c>
      <c r="O5" s="541">
        <v>4.18</v>
      </c>
      <c r="P5" s="540">
        <v>3</v>
      </c>
      <c r="Q5" s="541">
        <f t="shared" si="2"/>
        <v>12.54</v>
      </c>
      <c r="S5" s="84">
        <v>15</v>
      </c>
      <c r="T5" s="521" t="s">
        <v>390</v>
      </c>
      <c r="U5" s="522">
        <v>4.24</v>
      </c>
      <c r="V5" s="521">
        <v>3</v>
      </c>
      <c r="W5" s="522">
        <f t="shared" ref="W5:W14" si="3">+U5*V5</f>
        <v>12.72</v>
      </c>
      <c r="Y5" s="84">
        <v>28</v>
      </c>
      <c r="Z5" s="538" t="s">
        <v>494</v>
      </c>
      <c r="AA5" s="539"/>
      <c r="AB5" s="538"/>
      <c r="AC5" s="539"/>
    </row>
    <row r="6" spans="1:29" s="113" customFormat="1" ht="18" customHeight="1">
      <c r="A6" s="84">
        <v>7</v>
      </c>
      <c r="B6" s="525" t="s">
        <v>392</v>
      </c>
      <c r="C6" s="526">
        <v>0.45</v>
      </c>
      <c r="D6" s="525">
        <v>24</v>
      </c>
      <c r="E6" s="526">
        <f t="shared" si="0"/>
        <v>10.8</v>
      </c>
      <c r="G6" s="84">
        <v>10</v>
      </c>
      <c r="H6" s="542" t="s">
        <v>391</v>
      </c>
      <c r="I6" s="543">
        <v>1.02</v>
      </c>
      <c r="J6" s="542">
        <v>3</v>
      </c>
      <c r="K6" s="543">
        <f t="shared" si="1"/>
        <v>3.06</v>
      </c>
      <c r="L6" s="512"/>
      <c r="M6" s="84">
        <v>9</v>
      </c>
      <c r="N6" s="540" t="s">
        <v>393</v>
      </c>
      <c r="O6" s="541">
        <v>3</v>
      </c>
      <c r="P6" s="540">
        <v>2</v>
      </c>
      <c r="Q6" s="541">
        <f t="shared" si="2"/>
        <v>6</v>
      </c>
      <c r="S6" s="84">
        <v>16</v>
      </c>
      <c r="T6" s="521" t="s">
        <v>390</v>
      </c>
      <c r="U6" s="522">
        <v>3.35</v>
      </c>
      <c r="V6" s="521">
        <v>3</v>
      </c>
      <c r="W6" s="522">
        <f t="shared" si="3"/>
        <v>10.050000000000001</v>
      </c>
      <c r="Y6" s="84">
        <v>34</v>
      </c>
      <c r="Z6" s="538" t="s">
        <v>494</v>
      </c>
      <c r="AA6" s="539"/>
      <c r="AB6" s="538"/>
      <c r="AC6" s="539"/>
    </row>
    <row r="7" spans="1:29" s="113" customFormat="1" ht="18" customHeight="1">
      <c r="A7" s="84">
        <v>12</v>
      </c>
      <c r="B7" s="525" t="s">
        <v>392</v>
      </c>
      <c r="C7" s="526">
        <v>2.72</v>
      </c>
      <c r="D7" s="525">
        <v>3</v>
      </c>
      <c r="E7" s="526">
        <f t="shared" si="0"/>
        <v>8.16</v>
      </c>
      <c r="G7" s="84">
        <v>11</v>
      </c>
      <c r="H7" s="542" t="s">
        <v>391</v>
      </c>
      <c r="I7" s="543">
        <v>1.02</v>
      </c>
      <c r="J7" s="542">
        <v>3</v>
      </c>
      <c r="K7" s="543">
        <f t="shared" si="1"/>
        <v>3.06</v>
      </c>
      <c r="L7" s="512"/>
      <c r="M7" s="84">
        <v>17</v>
      </c>
      <c r="N7" s="540" t="s">
        <v>393</v>
      </c>
      <c r="O7" s="541">
        <v>1.45</v>
      </c>
      <c r="P7" s="540">
        <v>3</v>
      </c>
      <c r="Q7" s="541">
        <f t="shared" si="2"/>
        <v>4.3499999999999996</v>
      </c>
      <c r="S7" s="84">
        <v>35</v>
      </c>
      <c r="T7" s="521" t="s">
        <v>390</v>
      </c>
      <c r="U7" s="522">
        <v>3.37</v>
      </c>
      <c r="V7" s="521">
        <v>4</v>
      </c>
      <c r="W7" s="522">
        <f t="shared" si="3"/>
        <v>13.48</v>
      </c>
      <c r="Y7" s="84">
        <v>41</v>
      </c>
      <c r="Z7" s="538" t="s">
        <v>494</v>
      </c>
      <c r="AA7" s="539"/>
      <c r="AB7" s="538"/>
      <c r="AC7" s="539"/>
    </row>
    <row r="8" spans="1:29" s="113" customFormat="1" ht="18" customHeight="1">
      <c r="A8" s="84">
        <v>13</v>
      </c>
      <c r="B8" s="525" t="s">
        <v>392</v>
      </c>
      <c r="C8" s="526">
        <v>1.1000000000000001</v>
      </c>
      <c r="D8" s="525">
        <v>24</v>
      </c>
      <c r="E8" s="526">
        <f t="shared" si="0"/>
        <v>26.400000000000002</v>
      </c>
      <c r="G8" s="84">
        <v>29</v>
      </c>
      <c r="H8" s="542" t="s">
        <v>391</v>
      </c>
      <c r="I8" s="543">
        <v>1.02</v>
      </c>
      <c r="J8" s="542">
        <v>3</v>
      </c>
      <c r="K8" s="543">
        <f t="shared" si="1"/>
        <v>3.06</v>
      </c>
      <c r="L8" s="512"/>
      <c r="M8" s="362">
        <v>19</v>
      </c>
      <c r="N8" s="540" t="s">
        <v>393</v>
      </c>
      <c r="O8" s="541">
        <v>1.45</v>
      </c>
      <c r="P8" s="540">
        <v>3</v>
      </c>
      <c r="Q8" s="541">
        <f t="shared" si="2"/>
        <v>4.3499999999999996</v>
      </c>
      <c r="S8" s="84">
        <v>48</v>
      </c>
      <c r="T8" s="521" t="s">
        <v>390</v>
      </c>
      <c r="U8" s="522">
        <v>3.24</v>
      </c>
      <c r="V8" s="521">
        <v>4</v>
      </c>
      <c r="W8" s="522">
        <f t="shared" si="3"/>
        <v>12.96</v>
      </c>
      <c r="Y8" s="84">
        <v>42</v>
      </c>
      <c r="Z8" s="538" t="s">
        <v>494</v>
      </c>
      <c r="AA8" s="539"/>
      <c r="AB8" s="538"/>
      <c r="AC8" s="539"/>
    </row>
    <row r="9" spans="1:29" s="113" customFormat="1" ht="18" customHeight="1">
      <c r="A9" s="84">
        <v>14</v>
      </c>
      <c r="B9" s="525" t="s">
        <v>392</v>
      </c>
      <c r="C9" s="526">
        <v>0.45</v>
      </c>
      <c r="D9" s="525">
        <v>24</v>
      </c>
      <c r="E9" s="526">
        <f t="shared" si="0"/>
        <v>10.8</v>
      </c>
      <c r="G9" s="84">
        <v>30</v>
      </c>
      <c r="H9" s="542" t="s">
        <v>391</v>
      </c>
      <c r="I9" s="543">
        <v>1.02</v>
      </c>
      <c r="J9" s="542">
        <v>3</v>
      </c>
      <c r="K9" s="543">
        <f t="shared" si="1"/>
        <v>3.06</v>
      </c>
      <c r="L9" s="512"/>
      <c r="M9" s="362">
        <v>23</v>
      </c>
      <c r="N9" s="540" t="s">
        <v>393</v>
      </c>
      <c r="O9" s="541">
        <v>1.45</v>
      </c>
      <c r="P9" s="540">
        <v>3</v>
      </c>
      <c r="Q9" s="541">
        <f t="shared" si="2"/>
        <v>4.3499999999999996</v>
      </c>
      <c r="S9" s="677">
        <v>22</v>
      </c>
      <c r="T9" s="521" t="s">
        <v>390</v>
      </c>
      <c r="U9" s="522">
        <v>4.24</v>
      </c>
      <c r="V9" s="521">
        <v>3</v>
      </c>
      <c r="W9" s="522">
        <f t="shared" si="3"/>
        <v>12.72</v>
      </c>
      <c r="Y9" s="84"/>
      <c r="Z9" s="538" t="s">
        <v>494</v>
      </c>
      <c r="AA9" s="539"/>
      <c r="AB9" s="538"/>
      <c r="AC9" s="539">
        <f t="shared" ref="AC9:AC14" si="4">+AA9*AB9</f>
        <v>0</v>
      </c>
    </row>
    <row r="10" spans="1:29" s="113" customFormat="1" ht="18" customHeight="1">
      <c r="A10" s="84">
        <v>18</v>
      </c>
      <c r="B10" s="525" t="s">
        <v>392</v>
      </c>
      <c r="C10" s="526">
        <v>2.4</v>
      </c>
      <c r="D10" s="525">
        <v>3</v>
      </c>
      <c r="E10" s="526">
        <f t="shared" si="0"/>
        <v>7.1999999999999993</v>
      </c>
      <c r="G10" s="84">
        <v>43</v>
      </c>
      <c r="H10" s="542" t="s">
        <v>391</v>
      </c>
      <c r="I10" s="543">
        <v>1.1200000000000001</v>
      </c>
      <c r="J10" s="542">
        <v>6</v>
      </c>
      <c r="K10" s="543">
        <f t="shared" si="1"/>
        <v>6.7200000000000006</v>
      </c>
      <c r="L10" s="512"/>
      <c r="M10" s="362">
        <v>24</v>
      </c>
      <c r="N10" s="540" t="s">
        <v>393</v>
      </c>
      <c r="O10" s="541">
        <v>1.45</v>
      </c>
      <c r="P10" s="540">
        <v>3</v>
      </c>
      <c r="Q10" s="541">
        <f t="shared" si="2"/>
        <v>4.3499999999999996</v>
      </c>
      <c r="S10" s="677">
        <v>28</v>
      </c>
      <c r="T10" s="521" t="s">
        <v>390</v>
      </c>
      <c r="U10" s="522">
        <v>3.24</v>
      </c>
      <c r="V10" s="521">
        <v>3</v>
      </c>
      <c r="W10" s="522">
        <f t="shared" si="3"/>
        <v>9.7200000000000006</v>
      </c>
      <c r="Y10" s="84"/>
      <c r="Z10" s="538" t="s">
        <v>494</v>
      </c>
      <c r="AA10" s="539"/>
      <c r="AB10" s="538"/>
      <c r="AC10" s="539">
        <f t="shared" si="4"/>
        <v>0</v>
      </c>
    </row>
    <row r="11" spans="1:29" s="113" customFormat="1" ht="18" customHeight="1">
      <c r="A11" s="84">
        <v>20</v>
      </c>
      <c r="B11" s="525" t="s">
        <v>392</v>
      </c>
      <c r="C11" s="526">
        <v>1.1000000000000001</v>
      </c>
      <c r="D11" s="525">
        <v>23</v>
      </c>
      <c r="E11" s="526">
        <f t="shared" si="0"/>
        <v>25.3</v>
      </c>
      <c r="G11" s="84">
        <v>44</v>
      </c>
      <c r="H11" s="542" t="s">
        <v>391</v>
      </c>
      <c r="I11" s="543">
        <v>1.1200000000000001</v>
      </c>
      <c r="J11" s="542">
        <v>6</v>
      </c>
      <c r="K11" s="543">
        <f t="shared" si="1"/>
        <v>6.7200000000000006</v>
      </c>
      <c r="L11" s="512"/>
      <c r="M11" s="362">
        <v>36</v>
      </c>
      <c r="N11" s="540" t="s">
        <v>393</v>
      </c>
      <c r="O11" s="541">
        <v>1.45</v>
      </c>
      <c r="P11" s="540">
        <v>6</v>
      </c>
      <c r="Q11" s="541">
        <f t="shared" si="2"/>
        <v>8.6999999999999993</v>
      </c>
      <c r="S11" s="677">
        <v>34</v>
      </c>
      <c r="T11" s="521" t="s">
        <v>390</v>
      </c>
      <c r="U11" s="522">
        <v>4.46</v>
      </c>
      <c r="V11" s="521">
        <v>3</v>
      </c>
      <c r="W11" s="522">
        <f t="shared" si="3"/>
        <v>13.379999999999999</v>
      </c>
      <c r="Y11" s="84"/>
      <c r="Z11" s="538" t="s">
        <v>494</v>
      </c>
      <c r="AA11" s="539"/>
      <c r="AB11" s="538"/>
      <c r="AC11" s="539">
        <f t="shared" si="4"/>
        <v>0</v>
      </c>
    </row>
    <row r="12" spans="1:29" s="113" customFormat="1" ht="18" customHeight="1">
      <c r="A12" s="84">
        <v>21</v>
      </c>
      <c r="B12" s="525" t="s">
        <v>392</v>
      </c>
      <c r="C12" s="526">
        <v>0.45</v>
      </c>
      <c r="D12" s="525">
        <v>23</v>
      </c>
      <c r="E12" s="526">
        <f t="shared" si="0"/>
        <v>10.35</v>
      </c>
      <c r="G12" s="84">
        <v>49</v>
      </c>
      <c r="H12" s="542" t="s">
        <v>391</v>
      </c>
      <c r="I12" s="543">
        <v>2.88</v>
      </c>
      <c r="J12" s="542">
        <v>4</v>
      </c>
      <c r="K12" s="543">
        <f t="shared" si="1"/>
        <v>11.52</v>
      </c>
      <c r="L12" s="512"/>
      <c r="M12" s="362">
        <v>37</v>
      </c>
      <c r="N12" s="540" t="s">
        <v>393</v>
      </c>
      <c r="O12" s="541">
        <v>1.45</v>
      </c>
      <c r="P12" s="540">
        <v>6</v>
      </c>
      <c r="Q12" s="541">
        <f t="shared" si="2"/>
        <v>8.6999999999999993</v>
      </c>
      <c r="S12" s="677">
        <v>41</v>
      </c>
      <c r="T12" s="521" t="s">
        <v>390</v>
      </c>
      <c r="U12" s="522">
        <v>4.74</v>
      </c>
      <c r="V12" s="521">
        <v>3</v>
      </c>
      <c r="W12" s="522">
        <f t="shared" si="3"/>
        <v>14.22</v>
      </c>
      <c r="Y12" s="84"/>
      <c r="Z12" s="538" t="s">
        <v>494</v>
      </c>
      <c r="AA12" s="539"/>
      <c r="AB12" s="538"/>
      <c r="AC12" s="539">
        <f t="shared" si="4"/>
        <v>0</v>
      </c>
    </row>
    <row r="13" spans="1:29" s="113" customFormat="1" ht="18" customHeight="1">
      <c r="A13" s="84">
        <v>25</v>
      </c>
      <c r="B13" s="525" t="s">
        <v>392</v>
      </c>
      <c r="C13" s="526">
        <v>2.4</v>
      </c>
      <c r="D13" s="525">
        <v>3</v>
      </c>
      <c r="E13" s="526">
        <f t="shared" si="0"/>
        <v>7.1999999999999993</v>
      </c>
      <c r="G13" s="84">
        <v>50</v>
      </c>
      <c r="H13" s="542" t="s">
        <v>391</v>
      </c>
      <c r="I13" s="543">
        <v>1.3</v>
      </c>
      <c r="J13" s="542">
        <v>4</v>
      </c>
      <c r="K13" s="543">
        <f t="shared" si="1"/>
        <v>5.2</v>
      </c>
      <c r="L13" s="512"/>
      <c r="M13" s="362"/>
      <c r="N13" s="540" t="s">
        <v>393</v>
      </c>
      <c r="O13" s="541"/>
      <c r="P13" s="540"/>
      <c r="Q13" s="541">
        <f t="shared" si="2"/>
        <v>0</v>
      </c>
      <c r="S13" s="677">
        <v>42</v>
      </c>
      <c r="T13" s="521" t="s">
        <v>390</v>
      </c>
      <c r="U13" s="522">
        <v>4.38</v>
      </c>
      <c r="V13" s="521">
        <v>1</v>
      </c>
      <c r="W13" s="522">
        <f t="shared" si="3"/>
        <v>4.38</v>
      </c>
      <c r="Y13" s="84"/>
      <c r="Z13" s="538" t="s">
        <v>494</v>
      </c>
      <c r="AA13" s="539"/>
      <c r="AB13" s="538"/>
      <c r="AC13" s="539">
        <f t="shared" si="4"/>
        <v>0</v>
      </c>
    </row>
    <row r="14" spans="1:29" s="113" customFormat="1" ht="18" customHeight="1">
      <c r="A14" s="84">
        <v>26</v>
      </c>
      <c r="B14" s="525" t="s">
        <v>392</v>
      </c>
      <c r="C14" s="526">
        <v>1.1000000000000001</v>
      </c>
      <c r="D14" s="525">
        <v>24</v>
      </c>
      <c r="E14" s="526">
        <f t="shared" si="0"/>
        <v>26.400000000000002</v>
      </c>
      <c r="G14" s="362">
        <v>51</v>
      </c>
      <c r="H14" s="542" t="s">
        <v>391</v>
      </c>
      <c r="I14" s="543">
        <v>1.3</v>
      </c>
      <c r="J14" s="542">
        <v>4</v>
      </c>
      <c r="K14" s="543">
        <f t="shared" si="1"/>
        <v>5.2</v>
      </c>
      <c r="L14" s="512"/>
      <c r="M14" s="362"/>
      <c r="N14" s="362"/>
      <c r="O14" s="400"/>
      <c r="P14" s="362"/>
      <c r="Q14" s="400"/>
      <c r="S14" s="84"/>
      <c r="T14" s="362"/>
      <c r="U14" s="400"/>
      <c r="V14" s="362"/>
      <c r="W14" s="400">
        <f t="shared" si="3"/>
        <v>0</v>
      </c>
      <c r="Y14" s="84"/>
      <c r="Z14" s="538" t="s">
        <v>494</v>
      </c>
      <c r="AA14" s="539"/>
      <c r="AB14" s="538"/>
      <c r="AC14" s="539">
        <f t="shared" si="4"/>
        <v>0</v>
      </c>
    </row>
    <row r="15" spans="1:29" s="113" customFormat="1" ht="18" customHeight="1">
      <c r="A15" s="84">
        <v>27</v>
      </c>
      <c r="B15" s="525" t="s">
        <v>392</v>
      </c>
      <c r="C15" s="526">
        <v>0.45</v>
      </c>
      <c r="D15" s="525">
        <v>24</v>
      </c>
      <c r="E15" s="526">
        <f t="shared" si="0"/>
        <v>10.8</v>
      </c>
      <c r="G15" s="677">
        <v>22</v>
      </c>
      <c r="H15" s="542" t="s">
        <v>391</v>
      </c>
      <c r="I15" s="543">
        <v>3.88</v>
      </c>
      <c r="J15" s="542">
        <v>3</v>
      </c>
      <c r="K15" s="543">
        <f t="shared" si="1"/>
        <v>11.64</v>
      </c>
      <c r="L15" s="512"/>
      <c r="M15" s="362"/>
      <c r="N15" s="362"/>
      <c r="O15" s="400"/>
      <c r="P15" s="362"/>
      <c r="Q15" s="400"/>
      <c r="S15" s="84"/>
      <c r="T15" s="362"/>
      <c r="U15" s="400"/>
      <c r="V15" s="362"/>
      <c r="W15" s="400"/>
      <c r="Y15" s="84"/>
      <c r="Z15" s="362"/>
      <c r="AA15" s="400"/>
      <c r="AB15" s="362"/>
      <c r="AC15" s="400"/>
    </row>
    <row r="16" spans="1:29" s="113" customFormat="1" ht="18" customHeight="1">
      <c r="A16" s="84">
        <v>31</v>
      </c>
      <c r="B16" s="525" t="s">
        <v>392</v>
      </c>
      <c r="C16" s="526">
        <v>1.72</v>
      </c>
      <c r="D16" s="525">
        <v>3</v>
      </c>
      <c r="E16" s="526">
        <f t="shared" si="0"/>
        <v>5.16</v>
      </c>
      <c r="G16" s="677">
        <v>28</v>
      </c>
      <c r="H16" s="542" t="s">
        <v>391</v>
      </c>
      <c r="I16" s="543">
        <v>2.88</v>
      </c>
      <c r="J16" s="542">
        <v>3</v>
      </c>
      <c r="K16" s="543">
        <f t="shared" si="1"/>
        <v>8.64</v>
      </c>
      <c r="L16" s="512"/>
      <c r="M16" s="362"/>
      <c r="N16" s="362"/>
      <c r="O16" s="400"/>
      <c r="P16" s="362"/>
      <c r="Q16" s="400"/>
      <c r="S16" s="84"/>
      <c r="T16" s="362"/>
      <c r="U16" s="400"/>
      <c r="V16" s="362"/>
      <c r="W16" s="400"/>
      <c r="Y16" s="84"/>
      <c r="Z16" s="362"/>
      <c r="AA16" s="400"/>
      <c r="AB16" s="362"/>
      <c r="AC16" s="400"/>
    </row>
    <row r="17" spans="1:30" s="113" customFormat="1" ht="18" customHeight="1">
      <c r="A17" s="84">
        <v>32</v>
      </c>
      <c r="B17" s="525" t="s">
        <v>392</v>
      </c>
      <c r="C17" s="526">
        <v>1.1000000000000001</v>
      </c>
      <c r="D17" s="525">
        <v>17</v>
      </c>
      <c r="E17" s="526">
        <f t="shared" si="0"/>
        <v>18.700000000000003</v>
      </c>
      <c r="G17" s="677">
        <v>34</v>
      </c>
      <c r="H17" s="542" t="s">
        <v>391</v>
      </c>
      <c r="I17" s="543">
        <v>4.0999999999999996</v>
      </c>
      <c r="J17" s="542">
        <v>3</v>
      </c>
      <c r="K17" s="543">
        <f t="shared" si="1"/>
        <v>12.299999999999999</v>
      </c>
      <c r="L17" s="512"/>
      <c r="M17" s="362"/>
      <c r="N17" s="362"/>
      <c r="O17" s="400"/>
      <c r="P17" s="362"/>
      <c r="Q17" s="400"/>
      <c r="S17" s="84"/>
      <c r="T17" s="362"/>
      <c r="U17" s="400"/>
      <c r="V17" s="362"/>
      <c r="W17" s="400"/>
      <c r="Y17" s="84"/>
      <c r="Z17" s="362"/>
      <c r="AA17" s="400"/>
      <c r="AB17" s="362"/>
      <c r="AC17" s="400"/>
    </row>
    <row r="18" spans="1:30" s="113" customFormat="1" ht="18" customHeight="1">
      <c r="A18" s="84">
        <v>33</v>
      </c>
      <c r="B18" s="525" t="s">
        <v>392</v>
      </c>
      <c r="C18" s="526">
        <v>0.45</v>
      </c>
      <c r="D18" s="525">
        <v>17</v>
      </c>
      <c r="E18" s="526">
        <f t="shared" si="0"/>
        <v>7.65</v>
      </c>
      <c r="G18" s="677">
        <v>41</v>
      </c>
      <c r="H18" s="542" t="s">
        <v>391</v>
      </c>
      <c r="I18" s="543">
        <v>4.38</v>
      </c>
      <c r="J18" s="542">
        <v>3</v>
      </c>
      <c r="K18" s="543">
        <f t="shared" si="1"/>
        <v>13.14</v>
      </c>
      <c r="L18" s="512"/>
      <c r="M18" s="362"/>
      <c r="N18" s="362"/>
      <c r="O18" s="400"/>
      <c r="P18" s="362"/>
      <c r="Q18" s="400"/>
      <c r="S18" s="84"/>
      <c r="T18" s="362"/>
      <c r="U18" s="400"/>
      <c r="V18" s="362"/>
      <c r="W18" s="400"/>
      <c r="Y18" s="84"/>
      <c r="Z18" s="545"/>
      <c r="AA18" s="546"/>
      <c r="AB18" s="545"/>
      <c r="AC18" s="546"/>
    </row>
    <row r="19" spans="1:30" s="113" customFormat="1" ht="18" customHeight="1">
      <c r="A19" s="84">
        <v>38</v>
      </c>
      <c r="B19" s="525" t="s">
        <v>392</v>
      </c>
      <c r="C19" s="526">
        <v>2.2999999999999998</v>
      </c>
      <c r="D19" s="525">
        <v>6</v>
      </c>
      <c r="E19" s="526">
        <f t="shared" si="0"/>
        <v>13.799999999999999</v>
      </c>
      <c r="G19" s="677">
        <v>42</v>
      </c>
      <c r="H19" s="542" t="s">
        <v>391</v>
      </c>
      <c r="I19" s="543">
        <v>4.38</v>
      </c>
      <c r="J19" s="542">
        <v>1</v>
      </c>
      <c r="K19" s="543">
        <f t="shared" si="1"/>
        <v>4.38</v>
      </c>
      <c r="L19" s="512"/>
      <c r="M19" s="362"/>
      <c r="N19" s="362"/>
      <c r="O19" s="400"/>
      <c r="P19" s="362"/>
      <c r="Q19" s="400"/>
      <c r="S19" s="84"/>
      <c r="T19" s="362"/>
      <c r="U19" s="400"/>
      <c r="V19" s="362"/>
      <c r="W19" s="400"/>
      <c r="Y19" s="84"/>
      <c r="Z19" s="362"/>
      <c r="AA19" s="400"/>
      <c r="AB19" s="362"/>
      <c r="AC19" s="400"/>
    </row>
    <row r="20" spans="1:30" s="113" customFormat="1" ht="18" customHeight="1">
      <c r="A20" s="84">
        <v>39</v>
      </c>
      <c r="B20" s="525" t="s">
        <v>392</v>
      </c>
      <c r="C20" s="526">
        <v>1.1000000000000001</v>
      </c>
      <c r="D20" s="525">
        <v>44</v>
      </c>
      <c r="E20" s="526">
        <f t="shared" si="0"/>
        <v>48.400000000000006</v>
      </c>
      <c r="G20" s="362"/>
      <c r="H20" s="362"/>
      <c r="I20" s="400"/>
      <c r="J20" s="362"/>
      <c r="K20" s="400"/>
      <c r="L20" s="512"/>
      <c r="M20" s="362"/>
      <c r="N20" s="362"/>
      <c r="O20" s="400"/>
      <c r="P20" s="362"/>
      <c r="Q20" s="400"/>
      <c r="S20" s="84"/>
      <c r="T20" s="362"/>
      <c r="U20" s="400"/>
      <c r="V20" s="362"/>
      <c r="W20" s="400"/>
      <c r="Y20" s="84"/>
      <c r="Z20" s="362"/>
      <c r="AA20" s="400"/>
      <c r="AB20" s="362"/>
      <c r="AC20" s="400"/>
    </row>
    <row r="21" spans="1:30" s="113" customFormat="1" ht="18" customHeight="1">
      <c r="A21" s="84">
        <v>40</v>
      </c>
      <c r="B21" s="525" t="s">
        <v>392</v>
      </c>
      <c r="C21" s="526">
        <v>0.45</v>
      </c>
      <c r="D21" s="525">
        <v>44</v>
      </c>
      <c r="E21" s="526">
        <f t="shared" si="0"/>
        <v>19.8</v>
      </c>
      <c r="G21" s="362"/>
      <c r="H21" s="362"/>
      <c r="I21" s="400"/>
      <c r="J21" s="362"/>
      <c r="K21" s="400"/>
      <c r="L21" s="512"/>
      <c r="M21" s="362"/>
      <c r="N21" s="362"/>
      <c r="O21" s="400"/>
      <c r="P21" s="362"/>
      <c r="Q21" s="400"/>
      <c r="S21" s="84"/>
      <c r="T21" s="362"/>
      <c r="U21" s="400"/>
      <c r="V21" s="362"/>
      <c r="W21" s="400"/>
      <c r="Y21" s="84"/>
      <c r="Z21" s="362"/>
      <c r="AA21" s="400"/>
      <c r="AB21" s="362"/>
      <c r="AC21" s="400"/>
    </row>
    <row r="22" spans="1:30" s="113" customFormat="1" ht="18" customHeight="1">
      <c r="A22" s="84">
        <v>45</v>
      </c>
      <c r="B22" s="525" t="s">
        <v>392</v>
      </c>
      <c r="C22" s="526">
        <v>2.86</v>
      </c>
      <c r="D22" s="525">
        <v>6</v>
      </c>
      <c r="E22" s="526">
        <f t="shared" si="0"/>
        <v>17.16</v>
      </c>
      <c r="G22" s="362"/>
      <c r="H22" s="362"/>
      <c r="I22" s="400"/>
      <c r="J22" s="362"/>
      <c r="K22" s="400"/>
      <c r="L22" s="512"/>
      <c r="M22" s="362"/>
      <c r="N22" s="362"/>
      <c r="O22" s="400"/>
      <c r="P22" s="362"/>
      <c r="Q22" s="400"/>
      <c r="S22" s="84"/>
      <c r="T22" s="362"/>
      <c r="U22" s="400"/>
      <c r="V22" s="362"/>
      <c r="W22" s="400"/>
      <c r="Y22" s="84"/>
      <c r="Z22" s="362"/>
      <c r="AA22" s="400"/>
      <c r="AB22" s="362"/>
      <c r="AC22" s="400"/>
    </row>
    <row r="23" spans="1:30" s="113" customFormat="1" ht="18" customHeight="1">
      <c r="A23" s="84">
        <v>46</v>
      </c>
      <c r="B23" s="525" t="s">
        <v>392</v>
      </c>
      <c r="C23" s="526">
        <v>1.1000000000000001</v>
      </c>
      <c r="D23" s="525">
        <v>44</v>
      </c>
      <c r="E23" s="526">
        <f t="shared" si="0"/>
        <v>48.400000000000006</v>
      </c>
      <c r="G23" s="362"/>
      <c r="H23" s="362"/>
      <c r="I23" s="400"/>
      <c r="J23" s="362"/>
      <c r="K23" s="400"/>
      <c r="L23" s="512"/>
      <c r="M23" s="362"/>
      <c r="N23" s="362"/>
      <c r="O23" s="400"/>
      <c r="P23" s="362"/>
      <c r="Q23" s="400"/>
      <c r="S23" s="84"/>
      <c r="T23" s="362"/>
      <c r="U23" s="400"/>
      <c r="V23" s="362"/>
      <c r="W23" s="400"/>
      <c r="Y23" s="84"/>
      <c r="Z23" s="362"/>
      <c r="AA23" s="400"/>
      <c r="AB23" s="362"/>
      <c r="AC23" s="400"/>
    </row>
    <row r="24" spans="1:30" s="113" customFormat="1" ht="18" customHeight="1">
      <c r="A24" s="84">
        <v>47</v>
      </c>
      <c r="B24" s="525" t="s">
        <v>392</v>
      </c>
      <c r="C24" s="526">
        <v>0.45</v>
      </c>
      <c r="D24" s="525">
        <v>44</v>
      </c>
      <c r="E24" s="526">
        <f t="shared" si="0"/>
        <v>19.8</v>
      </c>
      <c r="G24" s="362"/>
      <c r="H24" s="362"/>
      <c r="I24" s="400"/>
      <c r="J24" s="362"/>
      <c r="K24" s="400"/>
      <c r="L24" s="512"/>
      <c r="M24" s="362"/>
      <c r="N24" s="362"/>
      <c r="O24" s="400"/>
      <c r="P24" s="362"/>
      <c r="Q24" s="400"/>
      <c r="S24" s="84"/>
      <c r="T24" s="362"/>
      <c r="U24" s="400"/>
      <c r="V24" s="362"/>
      <c r="W24" s="400"/>
      <c r="Y24" s="84"/>
      <c r="Z24" s="362"/>
      <c r="AA24" s="400"/>
      <c r="AB24" s="362"/>
      <c r="AC24" s="400"/>
    </row>
    <row r="25" spans="1:30" s="113" customFormat="1" ht="18" customHeight="1">
      <c r="A25" s="362">
        <v>52</v>
      </c>
      <c r="B25" s="525" t="s">
        <v>392</v>
      </c>
      <c r="C25" s="526">
        <v>1.1599999999999999</v>
      </c>
      <c r="D25" s="525">
        <v>4</v>
      </c>
      <c r="E25" s="526">
        <f t="shared" si="0"/>
        <v>4.6399999999999997</v>
      </c>
      <c r="G25" s="362"/>
      <c r="H25" s="362"/>
      <c r="I25" s="400"/>
      <c r="J25" s="362"/>
      <c r="K25" s="400"/>
      <c r="L25" s="512"/>
      <c r="M25" s="362"/>
      <c r="N25" s="362"/>
      <c r="O25" s="400"/>
      <c r="P25" s="362"/>
      <c r="Q25" s="400"/>
      <c r="S25" s="84"/>
      <c r="T25" s="362"/>
      <c r="U25" s="400"/>
      <c r="V25" s="362"/>
      <c r="W25" s="400"/>
      <c r="Y25" s="84"/>
      <c r="Z25" s="362"/>
      <c r="AA25" s="400"/>
      <c r="AB25" s="362"/>
      <c r="AC25" s="400"/>
    </row>
    <row r="26" spans="1:30" s="113" customFormat="1" ht="18" customHeight="1">
      <c r="A26" s="362">
        <v>53</v>
      </c>
      <c r="B26" s="525" t="s">
        <v>392</v>
      </c>
      <c r="C26" s="526">
        <v>1.1000000000000001</v>
      </c>
      <c r="D26" s="525">
        <v>34</v>
      </c>
      <c r="E26" s="526">
        <f t="shared" si="0"/>
        <v>37.400000000000006</v>
      </c>
      <c r="G26" s="362"/>
      <c r="H26" s="362"/>
      <c r="I26" s="400"/>
      <c r="J26" s="362"/>
      <c r="K26" s="400"/>
      <c r="L26" s="512"/>
      <c r="M26" s="362"/>
      <c r="N26" s="362"/>
      <c r="O26" s="400"/>
      <c r="P26" s="362"/>
      <c r="Q26" s="400"/>
      <c r="S26" s="84"/>
      <c r="T26" s="362"/>
      <c r="U26" s="400"/>
      <c r="V26" s="362"/>
      <c r="W26" s="400"/>
      <c r="Y26" s="84"/>
      <c r="Z26" s="362"/>
      <c r="AA26" s="400"/>
      <c r="AB26" s="362"/>
      <c r="AC26" s="400"/>
    </row>
    <row r="27" spans="1:30" s="113" customFormat="1" ht="18" customHeight="1">
      <c r="A27" s="635"/>
      <c r="B27" s="636"/>
      <c r="C27" s="562"/>
      <c r="D27" s="637"/>
      <c r="E27" s="400"/>
      <c r="G27" s="635"/>
      <c r="H27" s="636"/>
      <c r="I27" s="562"/>
      <c r="J27" s="637"/>
      <c r="K27" s="400"/>
      <c r="L27" s="512"/>
      <c r="M27" s="635"/>
      <c r="N27" s="636"/>
      <c r="O27" s="562"/>
      <c r="P27" s="637"/>
      <c r="Q27" s="400"/>
      <c r="S27" s="563"/>
      <c r="T27" s="636"/>
      <c r="U27" s="562"/>
      <c r="V27" s="637"/>
      <c r="W27" s="400"/>
      <c r="Y27" s="563"/>
      <c r="Z27" s="636"/>
      <c r="AA27" s="562"/>
      <c r="AB27" s="637"/>
      <c r="AC27" s="400"/>
    </row>
    <row r="28" spans="1:30" s="113" customFormat="1" ht="18" customHeight="1">
      <c r="A28" s="827" t="s">
        <v>16</v>
      </c>
      <c r="B28" s="828"/>
      <c r="C28" s="828"/>
      <c r="D28" s="829"/>
      <c r="E28" s="400">
        <f>SUM(E4:E26)</f>
        <v>418.88000000000011</v>
      </c>
      <c r="G28" s="830" t="s">
        <v>16</v>
      </c>
      <c r="H28" s="831"/>
      <c r="I28" s="831"/>
      <c r="J28" s="832"/>
      <c r="K28" s="547">
        <f>SUM(K4:K26)</f>
        <v>103.82</v>
      </c>
      <c r="L28" s="512"/>
      <c r="M28" s="830" t="s">
        <v>16</v>
      </c>
      <c r="N28" s="831"/>
      <c r="O28" s="831"/>
      <c r="P28" s="832"/>
      <c r="Q28" s="547">
        <f>SUM(Q4:Q26)</f>
        <v>59.34</v>
      </c>
      <c r="S28" s="830" t="s">
        <v>16</v>
      </c>
      <c r="T28" s="831"/>
      <c r="U28" s="831"/>
      <c r="V28" s="832"/>
      <c r="W28" s="547">
        <f>SUM(W4:W26)</f>
        <v>116.35</v>
      </c>
      <c r="Y28" s="830" t="s">
        <v>16</v>
      </c>
      <c r="Z28" s="831"/>
      <c r="AA28" s="831"/>
      <c r="AB28" s="832"/>
      <c r="AC28" s="547">
        <f>SUM(AC4:AC26)</f>
        <v>0</v>
      </c>
      <c r="AD28" s="638"/>
    </row>
    <row r="29" spans="1:30" s="113" customFormat="1" ht="15" customHeight="1">
      <c r="A29" s="833" t="s">
        <v>497</v>
      </c>
      <c r="B29" s="834"/>
      <c r="C29" s="834"/>
      <c r="D29" s="835"/>
      <c r="E29" s="84">
        <v>1.05</v>
      </c>
      <c r="G29" s="833" t="s">
        <v>497</v>
      </c>
      <c r="H29" s="834"/>
      <c r="I29" s="834"/>
      <c r="J29" s="835"/>
      <c r="K29" s="84">
        <v>1.05</v>
      </c>
      <c r="M29" s="833" t="s">
        <v>497</v>
      </c>
      <c r="N29" s="834"/>
      <c r="O29" s="834"/>
      <c r="P29" s="835"/>
      <c r="Q29" s="84">
        <v>1.05</v>
      </c>
      <c r="S29" s="833" t="s">
        <v>497</v>
      </c>
      <c r="T29" s="834"/>
      <c r="U29" s="834"/>
      <c r="V29" s="835"/>
      <c r="W29" s="84">
        <v>1.05</v>
      </c>
      <c r="Y29" s="833" t="s">
        <v>497</v>
      </c>
      <c r="Z29" s="834"/>
      <c r="AA29" s="834"/>
      <c r="AB29" s="835"/>
      <c r="AC29" s="84">
        <v>1.05</v>
      </c>
    </row>
    <row r="30" spans="1:30" s="113" customFormat="1" ht="17.25" customHeight="1">
      <c r="A30" s="821" t="s">
        <v>64</v>
      </c>
      <c r="B30" s="822"/>
      <c r="C30" s="822"/>
      <c r="D30" s="823"/>
      <c r="E30" s="548">
        <f>+E28*E29</f>
        <v>439.82400000000013</v>
      </c>
      <c r="G30" s="821" t="s">
        <v>64</v>
      </c>
      <c r="H30" s="822"/>
      <c r="I30" s="822"/>
      <c r="J30" s="823"/>
      <c r="K30" s="548">
        <f>+K28*K29</f>
        <v>109.011</v>
      </c>
      <c r="M30" s="821" t="s">
        <v>64</v>
      </c>
      <c r="N30" s="822"/>
      <c r="O30" s="822"/>
      <c r="P30" s="823"/>
      <c r="Q30" s="548">
        <f>+Q28*Q29</f>
        <v>62.307000000000009</v>
      </c>
      <c r="S30" s="821" t="s">
        <v>64</v>
      </c>
      <c r="T30" s="822"/>
      <c r="U30" s="822"/>
      <c r="V30" s="823"/>
      <c r="W30" s="548">
        <f>+W28*W29</f>
        <v>122.1675</v>
      </c>
      <c r="Y30" s="821" t="s">
        <v>64</v>
      </c>
      <c r="Z30" s="822"/>
      <c r="AA30" s="822"/>
      <c r="AB30" s="823"/>
      <c r="AC30" s="548">
        <f>+AC28*AC29</f>
        <v>0</v>
      </c>
    </row>
    <row r="31" spans="1:30" s="113" customFormat="1" ht="18" customHeight="1">
      <c r="A31" s="824" t="s">
        <v>498</v>
      </c>
      <c r="B31" s="825"/>
      <c r="C31" s="825"/>
      <c r="D31" s="826"/>
      <c r="E31" s="549">
        <f>+E30/11.7</f>
        <v>37.591794871794882</v>
      </c>
      <c r="G31" s="824" t="s">
        <v>499</v>
      </c>
      <c r="H31" s="825"/>
      <c r="I31" s="825"/>
      <c r="J31" s="826"/>
      <c r="K31" s="549">
        <f>+K30/11.7</f>
        <v>9.3171794871794873</v>
      </c>
      <c r="M31" s="824" t="s">
        <v>500</v>
      </c>
      <c r="N31" s="825"/>
      <c r="O31" s="825"/>
      <c r="P31" s="826"/>
      <c r="Q31" s="549">
        <f>+Q30/11.7</f>
        <v>5.3253846153846167</v>
      </c>
      <c r="S31" s="824" t="s">
        <v>501</v>
      </c>
      <c r="T31" s="825"/>
      <c r="U31" s="825"/>
      <c r="V31" s="826"/>
      <c r="W31" s="549">
        <f>+W30/11.7</f>
        <v>10.441666666666668</v>
      </c>
      <c r="Y31" s="824" t="s">
        <v>502</v>
      </c>
      <c r="Z31" s="825"/>
      <c r="AA31" s="825"/>
      <c r="AB31" s="826"/>
      <c r="AC31" s="549">
        <f>+AC30/11.7</f>
        <v>0</v>
      </c>
    </row>
    <row r="32" spans="1:30">
      <c r="D32" s="555" t="s">
        <v>387</v>
      </c>
      <c r="E32" s="554">
        <v>38</v>
      </c>
      <c r="J32" s="555" t="s">
        <v>387</v>
      </c>
      <c r="K32" s="554">
        <v>10</v>
      </c>
      <c r="P32" s="555" t="s">
        <v>387</v>
      </c>
      <c r="Q32" s="554">
        <v>6</v>
      </c>
      <c r="V32" s="555" t="s">
        <v>387</v>
      </c>
      <c r="W32" s="554">
        <v>11</v>
      </c>
      <c r="AB32" s="555" t="s">
        <v>387</v>
      </c>
      <c r="AC32" s="554">
        <v>0</v>
      </c>
    </row>
    <row r="35" spans="7:17">
      <c r="G35" s="224"/>
      <c r="H35" s="224"/>
      <c r="I35" s="224"/>
    </row>
    <row r="37" spans="7:17">
      <c r="Q37" s="639"/>
    </row>
  </sheetData>
  <mergeCells count="20">
    <mergeCell ref="A29:D29"/>
    <mergeCell ref="G29:J29"/>
    <mergeCell ref="M29:P29"/>
    <mergeCell ref="S29:V29"/>
    <mergeCell ref="Y29:AB29"/>
    <mergeCell ref="A28:D28"/>
    <mergeCell ref="G28:J28"/>
    <mergeCell ref="M28:P28"/>
    <mergeCell ref="S28:V28"/>
    <mergeCell ref="Y28:AB28"/>
    <mergeCell ref="A31:D31"/>
    <mergeCell ref="G31:J31"/>
    <mergeCell ref="M31:P31"/>
    <mergeCell ref="S31:V31"/>
    <mergeCell ref="Y31:AB31"/>
    <mergeCell ref="A30:D30"/>
    <mergeCell ref="G30:J30"/>
    <mergeCell ref="M30:P30"/>
    <mergeCell ref="S30:V30"/>
    <mergeCell ref="Y30:AB30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30"/>
  <sheetViews>
    <sheetView topLeftCell="A3" workbookViewId="0">
      <selection activeCell="E11" sqref="E11"/>
    </sheetView>
  </sheetViews>
  <sheetFormatPr baseColWidth="10" defaultRowHeight="12.75"/>
  <cols>
    <col min="1" max="1" width="8.28515625" customWidth="1"/>
    <col min="2" max="2" width="5.85546875" customWidth="1"/>
    <col min="3" max="3" width="7.7109375" customWidth="1"/>
    <col min="4" max="4" width="6.7109375" customWidth="1"/>
    <col min="5" max="5" width="8" customWidth="1"/>
    <col min="6" max="6" width="4.7109375" customWidth="1"/>
    <col min="7" max="7" width="8.28515625" customWidth="1"/>
    <col min="8" max="8" width="5.7109375" customWidth="1"/>
    <col min="9" max="9" width="7.7109375" customWidth="1"/>
    <col min="10" max="10" width="6.7109375" customWidth="1"/>
    <col min="11" max="11" width="8" customWidth="1"/>
    <col min="12" max="12" width="4.7109375" customWidth="1"/>
    <col min="13" max="13" width="8.28515625" customWidth="1"/>
    <col min="14" max="14" width="5.85546875" customWidth="1"/>
    <col min="15" max="15" width="7.7109375" customWidth="1"/>
    <col min="16" max="16" width="6.7109375" customWidth="1"/>
    <col min="17" max="17" width="8" customWidth="1"/>
    <col min="18" max="18" width="4.7109375" customWidth="1"/>
    <col min="19" max="19" width="8.28515625" customWidth="1"/>
    <col min="20" max="20" width="5.85546875" customWidth="1"/>
    <col min="21" max="21" width="7.7109375" customWidth="1"/>
    <col min="22" max="22" width="6.7109375" customWidth="1"/>
    <col min="23" max="23" width="8" customWidth="1"/>
    <col min="24" max="24" width="4.7109375" customWidth="1"/>
    <col min="25" max="25" width="8.28515625" customWidth="1"/>
    <col min="26" max="26" width="5.85546875" customWidth="1"/>
    <col min="27" max="27" width="7.7109375" customWidth="1"/>
    <col min="28" max="28" width="6.7109375" customWidth="1"/>
    <col min="29" max="29" width="8" customWidth="1"/>
  </cols>
  <sheetData>
    <row r="1" spans="1:29" ht="21" customHeight="1">
      <c r="A1" s="507" t="s">
        <v>402</v>
      </c>
      <c r="B1" s="507"/>
      <c r="C1" s="213"/>
      <c r="G1" s="507" t="s">
        <v>548</v>
      </c>
      <c r="H1" s="507"/>
      <c r="I1" s="213"/>
      <c r="N1" s="507" t="s">
        <v>548</v>
      </c>
      <c r="O1" s="507"/>
      <c r="P1" s="213"/>
      <c r="T1" s="507" t="s">
        <v>548</v>
      </c>
      <c r="U1" s="507"/>
      <c r="V1" s="213"/>
      <c r="Z1" s="507" t="s">
        <v>548</v>
      </c>
      <c r="AA1" s="507"/>
      <c r="AB1" s="213"/>
    </row>
    <row r="2" spans="1:29" ht="21" customHeight="1">
      <c r="A2" s="421"/>
      <c r="B2" s="421"/>
      <c r="C2" s="213"/>
      <c r="G2" s="421"/>
      <c r="H2" s="421"/>
      <c r="I2" s="213"/>
      <c r="M2" s="421"/>
      <c r="N2" s="421"/>
      <c r="O2" s="213"/>
      <c r="S2" s="421"/>
      <c r="T2" s="421"/>
      <c r="U2" s="213"/>
      <c r="Y2" s="421"/>
      <c r="Z2" s="421"/>
      <c r="AA2" s="213"/>
    </row>
    <row r="3" spans="1:29" s="113" customFormat="1" ht="21" customHeight="1">
      <c r="A3" s="509" t="s">
        <v>385</v>
      </c>
      <c r="B3" s="544" t="s">
        <v>496</v>
      </c>
      <c r="C3" s="510" t="s">
        <v>386</v>
      </c>
      <c r="D3" s="509" t="s">
        <v>387</v>
      </c>
      <c r="E3" s="510" t="s">
        <v>16</v>
      </c>
      <c r="G3" s="509" t="s">
        <v>385</v>
      </c>
      <c r="H3" s="544" t="s">
        <v>496</v>
      </c>
      <c r="I3" s="510" t="s">
        <v>386</v>
      </c>
      <c r="J3" s="509" t="s">
        <v>387</v>
      </c>
      <c r="K3" s="510" t="s">
        <v>16</v>
      </c>
      <c r="L3" s="512"/>
      <c r="M3" s="509" t="s">
        <v>385</v>
      </c>
      <c r="N3" s="544" t="s">
        <v>496</v>
      </c>
      <c r="O3" s="510" t="s">
        <v>386</v>
      </c>
      <c r="P3" s="509" t="s">
        <v>387</v>
      </c>
      <c r="Q3" s="510" t="s">
        <v>16</v>
      </c>
      <c r="S3" s="509" t="s">
        <v>385</v>
      </c>
      <c r="T3" s="544" t="s">
        <v>496</v>
      </c>
      <c r="U3" s="510" t="s">
        <v>386</v>
      </c>
      <c r="V3" s="509" t="s">
        <v>387</v>
      </c>
      <c r="W3" s="510" t="s">
        <v>16</v>
      </c>
      <c r="Y3" s="509" t="s">
        <v>385</v>
      </c>
      <c r="Z3" s="544" t="s">
        <v>496</v>
      </c>
      <c r="AA3" s="510" t="s">
        <v>386</v>
      </c>
      <c r="AB3" s="509" t="s">
        <v>387</v>
      </c>
      <c r="AC3" s="510" t="s">
        <v>16</v>
      </c>
    </row>
    <row r="4" spans="1:29" s="113" customFormat="1" ht="18" customHeight="1">
      <c r="A4" s="84">
        <v>211</v>
      </c>
      <c r="B4" s="525" t="s">
        <v>392</v>
      </c>
      <c r="C4" s="526">
        <v>0.35</v>
      </c>
      <c r="D4" s="525">
        <v>161</v>
      </c>
      <c r="E4" s="526">
        <f t="shared" ref="E4:E19" si="0">+C4*D4</f>
        <v>56.349999999999994</v>
      </c>
      <c r="G4" s="84">
        <v>200</v>
      </c>
      <c r="H4" s="542" t="s">
        <v>391</v>
      </c>
      <c r="I4" s="543">
        <v>1.95</v>
      </c>
      <c r="J4" s="542">
        <v>21</v>
      </c>
      <c r="K4" s="543">
        <f t="shared" ref="K4:K19" si="1">+I4*J4</f>
        <v>40.949999999999996</v>
      </c>
      <c r="L4" s="517"/>
      <c r="M4" s="84"/>
      <c r="N4" s="540" t="s">
        <v>393</v>
      </c>
      <c r="O4" s="541"/>
      <c r="P4" s="540"/>
      <c r="Q4" s="541">
        <f t="shared" ref="Q4:Q13" si="2">+O4*P4</f>
        <v>0</v>
      </c>
      <c r="S4" s="84"/>
      <c r="T4" s="521" t="s">
        <v>390</v>
      </c>
      <c r="U4" s="522"/>
      <c r="V4" s="521"/>
      <c r="W4" s="522">
        <f>+U4*V4</f>
        <v>0</v>
      </c>
      <c r="Y4" s="84">
        <v>22</v>
      </c>
      <c r="Z4" s="538" t="s">
        <v>494</v>
      </c>
      <c r="AA4" s="539"/>
      <c r="AB4" s="538"/>
      <c r="AC4" s="539"/>
    </row>
    <row r="5" spans="1:29" s="113" customFormat="1" ht="18" customHeight="1">
      <c r="A5" s="84"/>
      <c r="B5" s="525" t="s">
        <v>392</v>
      </c>
      <c r="C5" s="526"/>
      <c r="D5" s="525"/>
      <c r="E5" s="526">
        <f t="shared" si="0"/>
        <v>0</v>
      </c>
      <c r="G5" s="84">
        <v>201</v>
      </c>
      <c r="H5" s="542" t="s">
        <v>391</v>
      </c>
      <c r="I5" s="543">
        <v>1.95</v>
      </c>
      <c r="J5" s="542">
        <v>16</v>
      </c>
      <c r="K5" s="543">
        <f t="shared" si="1"/>
        <v>31.2</v>
      </c>
      <c r="L5" s="512"/>
      <c r="M5" s="84"/>
      <c r="N5" s="540" t="s">
        <v>393</v>
      </c>
      <c r="O5" s="541"/>
      <c r="P5" s="540"/>
      <c r="Q5" s="541">
        <f t="shared" si="2"/>
        <v>0</v>
      </c>
      <c r="S5" s="84"/>
      <c r="T5" s="521" t="s">
        <v>390</v>
      </c>
      <c r="U5" s="522"/>
      <c r="V5" s="521"/>
      <c r="W5" s="522">
        <f t="shared" ref="W5:W14" si="3">+U5*V5</f>
        <v>0</v>
      </c>
      <c r="Y5" s="84">
        <v>28</v>
      </c>
      <c r="Z5" s="538" t="s">
        <v>494</v>
      </c>
      <c r="AA5" s="539"/>
      <c r="AB5" s="538"/>
      <c r="AC5" s="539"/>
    </row>
    <row r="6" spans="1:29" s="113" customFormat="1" ht="18" customHeight="1">
      <c r="A6" s="84"/>
      <c r="B6" s="525" t="s">
        <v>392</v>
      </c>
      <c r="C6" s="526"/>
      <c r="D6" s="525"/>
      <c r="E6" s="526">
        <f t="shared" si="0"/>
        <v>0</v>
      </c>
      <c r="G6" s="84">
        <v>202</v>
      </c>
      <c r="H6" s="542" t="s">
        <v>391</v>
      </c>
      <c r="I6" s="543">
        <v>1.95</v>
      </c>
      <c r="J6" s="542">
        <v>24</v>
      </c>
      <c r="K6" s="543">
        <f t="shared" si="1"/>
        <v>46.8</v>
      </c>
      <c r="L6" s="512"/>
      <c r="M6" s="84"/>
      <c r="N6" s="540" t="s">
        <v>393</v>
      </c>
      <c r="O6" s="541"/>
      <c r="P6" s="540"/>
      <c r="Q6" s="541">
        <f t="shared" si="2"/>
        <v>0</v>
      </c>
      <c r="S6" s="84"/>
      <c r="T6" s="521" t="s">
        <v>390</v>
      </c>
      <c r="U6" s="522"/>
      <c r="V6" s="521"/>
      <c r="W6" s="522">
        <f t="shared" si="3"/>
        <v>0</v>
      </c>
      <c r="Y6" s="84">
        <v>34</v>
      </c>
      <c r="Z6" s="538" t="s">
        <v>494</v>
      </c>
      <c r="AA6" s="539"/>
      <c r="AB6" s="538"/>
      <c r="AC6" s="539"/>
    </row>
    <row r="7" spans="1:29" s="113" customFormat="1" ht="18" customHeight="1">
      <c r="A7" s="84"/>
      <c r="B7" s="525" t="s">
        <v>392</v>
      </c>
      <c r="C7" s="526"/>
      <c r="D7" s="525"/>
      <c r="E7" s="526">
        <f t="shared" si="0"/>
        <v>0</v>
      </c>
      <c r="G7" s="84">
        <v>203</v>
      </c>
      <c r="H7" s="542" t="s">
        <v>391</v>
      </c>
      <c r="I7" s="543">
        <v>1.95</v>
      </c>
      <c r="J7" s="542">
        <v>16</v>
      </c>
      <c r="K7" s="543">
        <f t="shared" si="1"/>
        <v>31.2</v>
      </c>
      <c r="L7" s="512"/>
      <c r="M7" s="84"/>
      <c r="N7" s="540" t="s">
        <v>393</v>
      </c>
      <c r="O7" s="541"/>
      <c r="P7" s="540"/>
      <c r="Q7" s="541">
        <f t="shared" si="2"/>
        <v>0</v>
      </c>
      <c r="S7" s="84"/>
      <c r="T7" s="521" t="s">
        <v>390</v>
      </c>
      <c r="U7" s="522"/>
      <c r="V7" s="521"/>
      <c r="W7" s="522">
        <f t="shared" si="3"/>
        <v>0</v>
      </c>
      <c r="Y7" s="84">
        <v>41</v>
      </c>
      <c r="Z7" s="538" t="s">
        <v>494</v>
      </c>
      <c r="AA7" s="539"/>
      <c r="AB7" s="538"/>
      <c r="AC7" s="539"/>
    </row>
    <row r="8" spans="1:29" s="113" customFormat="1" ht="18" customHeight="1">
      <c r="A8" s="84"/>
      <c r="B8" s="525" t="s">
        <v>392</v>
      </c>
      <c r="C8" s="526"/>
      <c r="D8" s="525"/>
      <c r="E8" s="526">
        <f t="shared" si="0"/>
        <v>0</v>
      </c>
      <c r="G8" s="84">
        <v>204</v>
      </c>
      <c r="H8" s="542" t="s">
        <v>391</v>
      </c>
      <c r="I8" s="543">
        <v>1.95</v>
      </c>
      <c r="J8" s="542">
        <v>16</v>
      </c>
      <c r="K8" s="543">
        <f t="shared" si="1"/>
        <v>31.2</v>
      </c>
      <c r="L8" s="512"/>
      <c r="M8" s="362"/>
      <c r="N8" s="540" t="s">
        <v>393</v>
      </c>
      <c r="O8" s="541"/>
      <c r="P8" s="540"/>
      <c r="Q8" s="541">
        <f t="shared" si="2"/>
        <v>0</v>
      </c>
      <c r="S8" s="84"/>
      <c r="T8" s="521" t="s">
        <v>390</v>
      </c>
      <c r="U8" s="522"/>
      <c r="V8" s="521"/>
      <c r="W8" s="522">
        <f t="shared" si="3"/>
        <v>0</v>
      </c>
      <c r="Y8" s="84">
        <v>42</v>
      </c>
      <c r="Z8" s="538" t="s">
        <v>494</v>
      </c>
      <c r="AA8" s="539"/>
      <c r="AB8" s="538"/>
      <c r="AC8" s="539"/>
    </row>
    <row r="9" spans="1:29" s="113" customFormat="1" ht="18" customHeight="1">
      <c r="A9" s="84"/>
      <c r="B9" s="525" t="s">
        <v>392</v>
      </c>
      <c r="C9" s="526"/>
      <c r="D9" s="525"/>
      <c r="E9" s="526">
        <f t="shared" si="0"/>
        <v>0</v>
      </c>
      <c r="G9" s="84">
        <v>205</v>
      </c>
      <c r="H9" s="542" t="s">
        <v>391</v>
      </c>
      <c r="I9" s="543">
        <v>1.25</v>
      </c>
      <c r="J9" s="542">
        <v>21</v>
      </c>
      <c r="K9" s="543">
        <f t="shared" si="1"/>
        <v>26.25</v>
      </c>
      <c r="L9" s="512"/>
      <c r="M9" s="362"/>
      <c r="N9" s="540" t="s">
        <v>393</v>
      </c>
      <c r="O9" s="541"/>
      <c r="P9" s="540"/>
      <c r="Q9" s="541">
        <f t="shared" si="2"/>
        <v>0</v>
      </c>
      <c r="S9" s="677"/>
      <c r="T9" s="521" t="s">
        <v>390</v>
      </c>
      <c r="U9" s="522"/>
      <c r="V9" s="521"/>
      <c r="W9" s="522">
        <f t="shared" si="3"/>
        <v>0</v>
      </c>
      <c r="Y9" s="84"/>
      <c r="Z9" s="538" t="s">
        <v>494</v>
      </c>
      <c r="AA9" s="539"/>
      <c r="AB9" s="538"/>
      <c r="AC9" s="539">
        <f t="shared" ref="AC9:AC14" si="4">+AA9*AB9</f>
        <v>0</v>
      </c>
    </row>
    <row r="10" spans="1:29" s="113" customFormat="1" ht="18" customHeight="1">
      <c r="A10" s="84"/>
      <c r="B10" s="525" t="s">
        <v>392</v>
      </c>
      <c r="C10" s="526"/>
      <c r="D10" s="525"/>
      <c r="E10" s="526">
        <f t="shared" si="0"/>
        <v>0</v>
      </c>
      <c r="G10" s="84">
        <v>206</v>
      </c>
      <c r="H10" s="542" t="s">
        <v>391</v>
      </c>
      <c r="I10" s="543">
        <v>1.25</v>
      </c>
      <c r="J10" s="542">
        <v>10</v>
      </c>
      <c r="K10" s="543">
        <f t="shared" si="1"/>
        <v>12.5</v>
      </c>
      <c r="L10" s="512"/>
      <c r="M10" s="362"/>
      <c r="N10" s="540" t="s">
        <v>393</v>
      </c>
      <c r="O10" s="541"/>
      <c r="P10" s="540"/>
      <c r="Q10" s="541">
        <f t="shared" si="2"/>
        <v>0</v>
      </c>
      <c r="S10" s="677"/>
      <c r="T10" s="521" t="s">
        <v>390</v>
      </c>
      <c r="U10" s="522"/>
      <c r="V10" s="521"/>
      <c r="W10" s="522">
        <f t="shared" si="3"/>
        <v>0</v>
      </c>
      <c r="Y10" s="84"/>
      <c r="Z10" s="538" t="s">
        <v>494</v>
      </c>
      <c r="AA10" s="539"/>
      <c r="AB10" s="538"/>
      <c r="AC10" s="539">
        <f t="shared" si="4"/>
        <v>0</v>
      </c>
    </row>
    <row r="11" spans="1:29" s="113" customFormat="1" ht="18" customHeight="1">
      <c r="A11" s="84"/>
      <c r="B11" s="525" t="s">
        <v>392</v>
      </c>
      <c r="C11" s="526"/>
      <c r="D11" s="525"/>
      <c r="E11" s="526">
        <f t="shared" si="0"/>
        <v>0</v>
      </c>
      <c r="G11" s="84">
        <v>207</v>
      </c>
      <c r="H11" s="542" t="s">
        <v>391</v>
      </c>
      <c r="I11" s="543">
        <v>1.25</v>
      </c>
      <c r="J11" s="542">
        <v>16</v>
      </c>
      <c r="K11" s="543">
        <f t="shared" si="1"/>
        <v>20</v>
      </c>
      <c r="L11" s="512"/>
      <c r="M11" s="362"/>
      <c r="N11" s="540" t="s">
        <v>393</v>
      </c>
      <c r="O11" s="541"/>
      <c r="P11" s="540"/>
      <c r="Q11" s="541">
        <f t="shared" si="2"/>
        <v>0</v>
      </c>
      <c r="S11" s="677"/>
      <c r="T11" s="521" t="s">
        <v>390</v>
      </c>
      <c r="U11" s="522"/>
      <c r="V11" s="521"/>
      <c r="W11" s="522">
        <f t="shared" si="3"/>
        <v>0</v>
      </c>
      <c r="Y11" s="84"/>
      <c r="Z11" s="538" t="s">
        <v>494</v>
      </c>
      <c r="AA11" s="539"/>
      <c r="AB11" s="538"/>
      <c r="AC11" s="539">
        <f t="shared" si="4"/>
        <v>0</v>
      </c>
    </row>
    <row r="12" spans="1:29" s="113" customFormat="1" ht="18" customHeight="1">
      <c r="A12" s="84"/>
      <c r="B12" s="525" t="s">
        <v>392</v>
      </c>
      <c r="C12" s="526"/>
      <c r="D12" s="525"/>
      <c r="E12" s="526">
        <f t="shared" si="0"/>
        <v>0</v>
      </c>
      <c r="G12" s="84">
        <v>208</v>
      </c>
      <c r="H12" s="542" t="s">
        <v>391</v>
      </c>
      <c r="I12" s="543">
        <v>1.25</v>
      </c>
      <c r="J12" s="542">
        <v>13</v>
      </c>
      <c r="K12" s="543">
        <f t="shared" si="1"/>
        <v>16.25</v>
      </c>
      <c r="L12" s="512"/>
      <c r="M12" s="362"/>
      <c r="N12" s="540" t="s">
        <v>393</v>
      </c>
      <c r="O12" s="541"/>
      <c r="P12" s="540"/>
      <c r="Q12" s="541">
        <f t="shared" si="2"/>
        <v>0</v>
      </c>
      <c r="S12" s="677"/>
      <c r="T12" s="521" t="s">
        <v>390</v>
      </c>
      <c r="U12" s="522"/>
      <c r="V12" s="521"/>
      <c r="W12" s="522">
        <f t="shared" si="3"/>
        <v>0</v>
      </c>
      <c r="Y12" s="84"/>
      <c r="Z12" s="538" t="s">
        <v>494</v>
      </c>
      <c r="AA12" s="539"/>
      <c r="AB12" s="538"/>
      <c r="AC12" s="539">
        <f t="shared" si="4"/>
        <v>0</v>
      </c>
    </row>
    <row r="13" spans="1:29" s="113" customFormat="1" ht="18" customHeight="1">
      <c r="A13" s="84"/>
      <c r="B13" s="525" t="s">
        <v>392</v>
      </c>
      <c r="C13" s="526"/>
      <c r="D13" s="525"/>
      <c r="E13" s="526">
        <f t="shared" si="0"/>
        <v>0</v>
      </c>
      <c r="G13" s="84">
        <v>209</v>
      </c>
      <c r="H13" s="542" t="s">
        <v>391</v>
      </c>
      <c r="I13" s="543">
        <v>1.25</v>
      </c>
      <c r="J13" s="542">
        <v>16</v>
      </c>
      <c r="K13" s="543">
        <f t="shared" si="1"/>
        <v>20</v>
      </c>
      <c r="L13" s="512"/>
      <c r="M13" s="362"/>
      <c r="N13" s="540" t="s">
        <v>393</v>
      </c>
      <c r="O13" s="541"/>
      <c r="P13" s="540"/>
      <c r="Q13" s="541">
        <f t="shared" si="2"/>
        <v>0</v>
      </c>
      <c r="S13" s="677"/>
      <c r="T13" s="521" t="s">
        <v>390</v>
      </c>
      <c r="U13" s="522"/>
      <c r="V13" s="521"/>
      <c r="W13" s="522">
        <f t="shared" si="3"/>
        <v>0</v>
      </c>
      <c r="Y13" s="84"/>
      <c r="Z13" s="538" t="s">
        <v>494</v>
      </c>
      <c r="AA13" s="539"/>
      <c r="AB13" s="538"/>
      <c r="AC13" s="539">
        <f t="shared" si="4"/>
        <v>0</v>
      </c>
    </row>
    <row r="14" spans="1:29" s="113" customFormat="1" ht="18" customHeight="1">
      <c r="A14" s="84"/>
      <c r="B14" s="525" t="s">
        <v>392</v>
      </c>
      <c r="C14" s="526"/>
      <c r="D14" s="525"/>
      <c r="E14" s="526">
        <f t="shared" si="0"/>
        <v>0</v>
      </c>
      <c r="G14" s="362">
        <v>210</v>
      </c>
      <c r="H14" s="542" t="s">
        <v>391</v>
      </c>
      <c r="I14" s="543">
        <v>1.25</v>
      </c>
      <c r="J14" s="542">
        <v>16</v>
      </c>
      <c r="K14" s="543">
        <f t="shared" si="1"/>
        <v>20</v>
      </c>
      <c r="L14" s="512"/>
      <c r="M14" s="362"/>
      <c r="N14" s="540"/>
      <c r="O14" s="541"/>
      <c r="P14" s="540"/>
      <c r="Q14" s="541"/>
      <c r="S14" s="84"/>
      <c r="T14" s="521"/>
      <c r="U14" s="522"/>
      <c r="V14" s="521"/>
      <c r="W14" s="522">
        <f t="shared" si="3"/>
        <v>0</v>
      </c>
      <c r="Y14" s="84"/>
      <c r="Z14" s="538" t="s">
        <v>494</v>
      </c>
      <c r="AA14" s="539"/>
      <c r="AB14" s="538"/>
      <c r="AC14" s="539">
        <f t="shared" si="4"/>
        <v>0</v>
      </c>
    </row>
    <row r="15" spans="1:29" s="113" customFormat="1" ht="18" customHeight="1">
      <c r="A15" s="84"/>
      <c r="B15" s="525" t="s">
        <v>392</v>
      </c>
      <c r="C15" s="526"/>
      <c r="D15" s="525"/>
      <c r="E15" s="526">
        <f t="shared" si="0"/>
        <v>0</v>
      </c>
      <c r="G15" s="677"/>
      <c r="H15" s="542" t="s">
        <v>391</v>
      </c>
      <c r="I15" s="543"/>
      <c r="J15" s="542"/>
      <c r="K15" s="543">
        <f t="shared" si="1"/>
        <v>0</v>
      </c>
      <c r="L15" s="512"/>
      <c r="M15" s="362"/>
      <c r="N15" s="540"/>
      <c r="O15" s="541"/>
      <c r="P15" s="540"/>
      <c r="Q15" s="541"/>
      <c r="S15" s="84"/>
      <c r="T15" s="521"/>
      <c r="U15" s="522"/>
      <c r="V15" s="521"/>
      <c r="W15" s="522"/>
      <c r="Y15" s="84"/>
      <c r="Z15" s="538"/>
      <c r="AA15" s="539"/>
      <c r="AB15" s="538"/>
      <c r="AC15" s="539"/>
    </row>
    <row r="16" spans="1:29" s="113" customFormat="1" ht="18" customHeight="1">
      <c r="A16" s="84"/>
      <c r="B16" s="525" t="s">
        <v>392</v>
      </c>
      <c r="C16" s="526"/>
      <c r="D16" s="525"/>
      <c r="E16" s="526">
        <f t="shared" si="0"/>
        <v>0</v>
      </c>
      <c r="G16" s="677"/>
      <c r="H16" s="542" t="s">
        <v>391</v>
      </c>
      <c r="I16" s="543"/>
      <c r="J16" s="542"/>
      <c r="K16" s="543">
        <f t="shared" si="1"/>
        <v>0</v>
      </c>
      <c r="L16" s="512"/>
      <c r="M16" s="362"/>
      <c r="N16" s="540"/>
      <c r="O16" s="541"/>
      <c r="P16" s="540"/>
      <c r="Q16" s="541"/>
      <c r="S16" s="84"/>
      <c r="T16" s="521"/>
      <c r="U16" s="522"/>
      <c r="V16" s="521"/>
      <c r="W16" s="522"/>
      <c r="Y16" s="84"/>
      <c r="Z16" s="538"/>
      <c r="AA16" s="539"/>
      <c r="AB16" s="538"/>
      <c r="AC16" s="539"/>
    </row>
    <row r="17" spans="1:30" s="113" customFormat="1" ht="18" customHeight="1">
      <c r="A17" s="84"/>
      <c r="B17" s="525" t="s">
        <v>392</v>
      </c>
      <c r="C17" s="526"/>
      <c r="D17" s="525"/>
      <c r="E17" s="526">
        <f t="shared" si="0"/>
        <v>0</v>
      </c>
      <c r="G17" s="677"/>
      <c r="H17" s="542" t="s">
        <v>391</v>
      </c>
      <c r="I17" s="543"/>
      <c r="J17" s="542"/>
      <c r="K17" s="543">
        <f t="shared" si="1"/>
        <v>0</v>
      </c>
      <c r="L17" s="512"/>
      <c r="M17" s="362"/>
      <c r="N17" s="540"/>
      <c r="O17" s="541"/>
      <c r="P17" s="540"/>
      <c r="Q17" s="541"/>
      <c r="S17" s="84"/>
      <c r="T17" s="521"/>
      <c r="U17" s="522"/>
      <c r="V17" s="521"/>
      <c r="W17" s="522"/>
      <c r="Y17" s="84"/>
      <c r="Z17" s="538"/>
      <c r="AA17" s="539"/>
      <c r="AB17" s="538"/>
      <c r="AC17" s="539"/>
    </row>
    <row r="18" spans="1:30" s="113" customFormat="1" ht="18" customHeight="1">
      <c r="A18" s="84"/>
      <c r="B18" s="525" t="s">
        <v>392</v>
      </c>
      <c r="C18" s="526"/>
      <c r="D18" s="525"/>
      <c r="E18" s="526">
        <f t="shared" si="0"/>
        <v>0</v>
      </c>
      <c r="G18" s="677"/>
      <c r="H18" s="542" t="s">
        <v>391</v>
      </c>
      <c r="I18" s="543"/>
      <c r="J18" s="542"/>
      <c r="K18" s="543">
        <f t="shared" si="1"/>
        <v>0</v>
      </c>
      <c r="L18" s="512"/>
      <c r="M18" s="362"/>
      <c r="N18" s="540"/>
      <c r="O18" s="541"/>
      <c r="P18" s="540"/>
      <c r="Q18" s="541"/>
      <c r="S18" s="84"/>
      <c r="T18" s="521"/>
      <c r="U18" s="522"/>
      <c r="V18" s="521"/>
      <c r="W18" s="522"/>
      <c r="Y18" s="84"/>
      <c r="Z18" s="688"/>
      <c r="AA18" s="689"/>
      <c r="AB18" s="688"/>
      <c r="AC18" s="689"/>
    </row>
    <row r="19" spans="1:30" s="113" customFormat="1" ht="18" customHeight="1">
      <c r="A19" s="84"/>
      <c r="B19" s="525" t="s">
        <v>392</v>
      </c>
      <c r="C19" s="526"/>
      <c r="D19" s="525"/>
      <c r="E19" s="526">
        <f t="shared" si="0"/>
        <v>0</v>
      </c>
      <c r="G19" s="677"/>
      <c r="H19" s="542" t="s">
        <v>391</v>
      </c>
      <c r="I19" s="543"/>
      <c r="J19" s="542"/>
      <c r="K19" s="543">
        <f t="shared" si="1"/>
        <v>0</v>
      </c>
      <c r="L19" s="512"/>
      <c r="M19" s="362"/>
      <c r="N19" s="540"/>
      <c r="O19" s="541"/>
      <c r="P19" s="540"/>
      <c r="Q19" s="541"/>
      <c r="S19" s="84"/>
      <c r="T19" s="521"/>
      <c r="U19" s="522"/>
      <c r="V19" s="521"/>
      <c r="W19" s="522"/>
      <c r="Y19" s="84"/>
      <c r="Z19" s="538"/>
      <c r="AA19" s="539"/>
      <c r="AB19" s="538"/>
      <c r="AC19" s="539"/>
    </row>
    <row r="20" spans="1:30" s="113" customFormat="1" ht="18" customHeight="1">
      <c r="A20" s="678"/>
      <c r="B20" s="679"/>
      <c r="C20" s="562"/>
      <c r="D20" s="680"/>
      <c r="E20" s="400"/>
      <c r="G20" s="678"/>
      <c r="H20" s="679"/>
      <c r="I20" s="562"/>
      <c r="J20" s="680"/>
      <c r="K20" s="400"/>
      <c r="L20" s="512"/>
      <c r="M20" s="678"/>
      <c r="N20" s="679"/>
      <c r="O20" s="562"/>
      <c r="P20" s="680"/>
      <c r="Q20" s="400"/>
      <c r="S20" s="563"/>
      <c r="T20" s="679"/>
      <c r="U20" s="562"/>
      <c r="V20" s="680"/>
      <c r="W20" s="400"/>
      <c r="Y20" s="563"/>
      <c r="Z20" s="679"/>
      <c r="AA20" s="562"/>
      <c r="AB20" s="680"/>
      <c r="AC20" s="400"/>
    </row>
    <row r="21" spans="1:30" s="113" customFormat="1" ht="18" customHeight="1">
      <c r="A21" s="827" t="s">
        <v>16</v>
      </c>
      <c r="B21" s="828"/>
      <c r="C21" s="828"/>
      <c r="D21" s="829"/>
      <c r="E21" s="400">
        <f>SUM(E4:E19)</f>
        <v>56.349999999999994</v>
      </c>
      <c r="G21" s="830" t="s">
        <v>16</v>
      </c>
      <c r="H21" s="831"/>
      <c r="I21" s="831"/>
      <c r="J21" s="832"/>
      <c r="K21" s="547">
        <f>SUM(K4:K19)</f>
        <v>296.34999999999997</v>
      </c>
      <c r="L21" s="512"/>
      <c r="M21" s="830" t="s">
        <v>16</v>
      </c>
      <c r="N21" s="831"/>
      <c r="O21" s="831"/>
      <c r="P21" s="832"/>
      <c r="Q21" s="547">
        <f>SUM(Q4:Q19)</f>
        <v>0</v>
      </c>
      <c r="S21" s="830" t="s">
        <v>16</v>
      </c>
      <c r="T21" s="831"/>
      <c r="U21" s="831"/>
      <c r="V21" s="832"/>
      <c r="W21" s="547">
        <f>SUM(W4:W19)</f>
        <v>0</v>
      </c>
      <c r="Y21" s="830" t="s">
        <v>16</v>
      </c>
      <c r="Z21" s="831"/>
      <c r="AA21" s="831"/>
      <c r="AB21" s="832"/>
      <c r="AC21" s="547">
        <f>SUM(AC4:AC19)</f>
        <v>0</v>
      </c>
      <c r="AD21" s="638"/>
    </row>
    <row r="22" spans="1:30" s="113" customFormat="1" ht="15" customHeight="1">
      <c r="A22" s="833" t="s">
        <v>497</v>
      </c>
      <c r="B22" s="834"/>
      <c r="C22" s="834"/>
      <c r="D22" s="835"/>
      <c r="E22" s="84">
        <v>1.05</v>
      </c>
      <c r="G22" s="833" t="s">
        <v>497</v>
      </c>
      <c r="H22" s="834"/>
      <c r="I22" s="834"/>
      <c r="J22" s="835"/>
      <c r="K22" s="84">
        <v>1.05</v>
      </c>
      <c r="M22" s="833" t="s">
        <v>497</v>
      </c>
      <c r="N22" s="834"/>
      <c r="O22" s="834"/>
      <c r="P22" s="835"/>
      <c r="Q22" s="84">
        <v>1.05</v>
      </c>
      <c r="S22" s="833" t="s">
        <v>497</v>
      </c>
      <c r="T22" s="834"/>
      <c r="U22" s="834"/>
      <c r="V22" s="835"/>
      <c r="W22" s="84">
        <v>1.05</v>
      </c>
      <c r="Y22" s="833" t="s">
        <v>497</v>
      </c>
      <c r="Z22" s="834"/>
      <c r="AA22" s="834"/>
      <c r="AB22" s="835"/>
      <c r="AC22" s="84">
        <v>1.05</v>
      </c>
    </row>
    <row r="23" spans="1:30" s="113" customFormat="1" ht="17.25" customHeight="1">
      <c r="A23" s="821" t="s">
        <v>64</v>
      </c>
      <c r="B23" s="822"/>
      <c r="C23" s="822"/>
      <c r="D23" s="823"/>
      <c r="E23" s="548">
        <f>+E21*E22</f>
        <v>59.167499999999997</v>
      </c>
      <c r="G23" s="821" t="s">
        <v>64</v>
      </c>
      <c r="H23" s="822"/>
      <c r="I23" s="822"/>
      <c r="J23" s="823"/>
      <c r="K23" s="548">
        <f>+K21*K22</f>
        <v>311.16749999999996</v>
      </c>
      <c r="M23" s="821" t="s">
        <v>64</v>
      </c>
      <c r="N23" s="822"/>
      <c r="O23" s="822"/>
      <c r="P23" s="823"/>
      <c r="Q23" s="548">
        <f>+Q21*Q22</f>
        <v>0</v>
      </c>
      <c r="S23" s="821" t="s">
        <v>64</v>
      </c>
      <c r="T23" s="822"/>
      <c r="U23" s="822"/>
      <c r="V23" s="823"/>
      <c r="W23" s="548">
        <f>+W21*W22</f>
        <v>0</v>
      </c>
      <c r="Y23" s="821" t="s">
        <v>64</v>
      </c>
      <c r="Z23" s="822"/>
      <c r="AA23" s="822"/>
      <c r="AB23" s="823"/>
      <c r="AC23" s="548">
        <f>+AC21*AC22</f>
        <v>0</v>
      </c>
    </row>
    <row r="24" spans="1:30" s="113" customFormat="1" ht="18" customHeight="1">
      <c r="A24" s="824" t="s">
        <v>498</v>
      </c>
      <c r="B24" s="825"/>
      <c r="C24" s="825"/>
      <c r="D24" s="826"/>
      <c r="E24" s="549">
        <f>+E23/11.7</f>
        <v>5.0570512820512823</v>
      </c>
      <c r="G24" s="824" t="s">
        <v>499</v>
      </c>
      <c r="H24" s="825"/>
      <c r="I24" s="825"/>
      <c r="J24" s="826"/>
      <c r="K24" s="549">
        <f>+K23/11.7</f>
        <v>26.59551282051282</v>
      </c>
      <c r="M24" s="824" t="s">
        <v>500</v>
      </c>
      <c r="N24" s="825"/>
      <c r="O24" s="825"/>
      <c r="P24" s="826"/>
      <c r="Q24" s="549">
        <f>+Q23/11.7</f>
        <v>0</v>
      </c>
      <c r="S24" s="824" t="s">
        <v>501</v>
      </c>
      <c r="T24" s="825"/>
      <c r="U24" s="825"/>
      <c r="V24" s="826"/>
      <c r="W24" s="549">
        <f>+W23/11.7</f>
        <v>0</v>
      </c>
      <c r="Y24" s="824" t="s">
        <v>502</v>
      </c>
      <c r="Z24" s="825"/>
      <c r="AA24" s="825"/>
      <c r="AB24" s="826"/>
      <c r="AC24" s="549">
        <f>+AC23/11.7</f>
        <v>0</v>
      </c>
    </row>
    <row r="25" spans="1:30">
      <c r="D25" s="555" t="s">
        <v>387</v>
      </c>
      <c r="E25" s="554">
        <v>38</v>
      </c>
      <c r="J25" s="555" t="s">
        <v>387</v>
      </c>
      <c r="K25" s="554">
        <v>10</v>
      </c>
      <c r="P25" s="555" t="s">
        <v>387</v>
      </c>
      <c r="Q25" s="554">
        <v>6</v>
      </c>
      <c r="V25" s="555" t="s">
        <v>387</v>
      </c>
      <c r="W25" s="554">
        <v>11</v>
      </c>
      <c r="AB25" s="555" t="s">
        <v>387</v>
      </c>
      <c r="AC25" s="554">
        <v>0</v>
      </c>
    </row>
    <row r="28" spans="1:30">
      <c r="G28" s="224"/>
      <c r="H28" s="224"/>
      <c r="I28" s="224"/>
    </row>
    <row r="30" spans="1:30">
      <c r="Q30" s="639"/>
    </row>
  </sheetData>
  <mergeCells count="20">
    <mergeCell ref="A23:D23"/>
    <mergeCell ref="G23:J23"/>
    <mergeCell ref="M23:P23"/>
    <mergeCell ref="S23:V23"/>
    <mergeCell ref="Y23:AB23"/>
    <mergeCell ref="A24:D24"/>
    <mergeCell ref="G24:J24"/>
    <mergeCell ref="M24:P24"/>
    <mergeCell ref="S24:V24"/>
    <mergeCell ref="Y24:AB24"/>
    <mergeCell ref="A21:D21"/>
    <mergeCell ref="G21:J21"/>
    <mergeCell ref="M21:P21"/>
    <mergeCell ref="S21:V21"/>
    <mergeCell ref="Y21:AB21"/>
    <mergeCell ref="A22:D22"/>
    <mergeCell ref="G22:J22"/>
    <mergeCell ref="M22:P22"/>
    <mergeCell ref="S22:V22"/>
    <mergeCell ref="Y22:AB22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31"/>
  <sheetViews>
    <sheetView topLeftCell="J1" workbookViewId="0">
      <selection activeCell="Z24" sqref="Z24"/>
    </sheetView>
  </sheetViews>
  <sheetFormatPr baseColWidth="10" defaultRowHeight="12.75"/>
  <cols>
    <col min="1" max="1" width="8.28515625" customWidth="1"/>
    <col min="2" max="2" width="5.85546875" customWidth="1"/>
    <col min="3" max="3" width="7.7109375" customWidth="1"/>
    <col min="4" max="4" width="6.7109375" customWidth="1"/>
    <col min="5" max="5" width="8" customWidth="1"/>
    <col min="6" max="6" width="4.7109375" customWidth="1"/>
    <col min="7" max="7" width="8.28515625" customWidth="1"/>
    <col min="8" max="8" width="5.7109375" customWidth="1"/>
    <col min="9" max="9" width="7.7109375" customWidth="1"/>
    <col min="10" max="10" width="6.7109375" customWidth="1"/>
    <col min="11" max="11" width="8" customWidth="1"/>
    <col min="12" max="12" width="4.7109375" customWidth="1"/>
    <col min="13" max="13" width="8.28515625" customWidth="1"/>
    <col min="14" max="14" width="5.85546875" customWidth="1"/>
    <col min="15" max="15" width="7.7109375" customWidth="1"/>
    <col min="16" max="16" width="6.7109375" customWidth="1"/>
    <col min="17" max="17" width="8" customWidth="1"/>
    <col min="18" max="18" width="4.7109375" customWidth="1"/>
    <col min="19" max="19" width="8.28515625" customWidth="1"/>
    <col min="20" max="20" width="5.85546875" customWidth="1"/>
    <col min="21" max="21" width="7.7109375" customWidth="1"/>
    <col min="22" max="22" width="6.7109375" customWidth="1"/>
    <col min="23" max="23" width="8" customWidth="1"/>
    <col min="24" max="24" width="4.7109375" customWidth="1"/>
    <col min="26" max="29" width="8.42578125" style="345" customWidth="1"/>
    <col min="30" max="30" width="11.42578125" style="325"/>
  </cols>
  <sheetData>
    <row r="1" spans="1:30">
      <c r="A1" s="507" t="s">
        <v>535</v>
      </c>
      <c r="B1" s="507"/>
      <c r="C1" s="213"/>
      <c r="G1" s="507" t="s">
        <v>535</v>
      </c>
      <c r="H1" s="507"/>
      <c r="I1" s="213"/>
      <c r="M1" s="507" t="s">
        <v>535</v>
      </c>
      <c r="N1" s="507"/>
      <c r="O1" s="213"/>
      <c r="S1" s="507" t="s">
        <v>535</v>
      </c>
      <c r="T1" s="507"/>
      <c r="U1" s="213"/>
    </row>
    <row r="2" spans="1:30">
      <c r="A2" s="421"/>
      <c r="B2" s="421"/>
      <c r="C2" s="213"/>
      <c r="G2" s="421"/>
      <c r="H2" s="421"/>
      <c r="I2" s="213"/>
      <c r="M2" s="421"/>
      <c r="N2" s="421"/>
      <c r="O2" s="213"/>
      <c r="S2" s="421"/>
      <c r="T2" s="421"/>
      <c r="U2" s="213"/>
    </row>
    <row r="3" spans="1:30" s="113" customFormat="1">
      <c r="A3" s="509" t="s">
        <v>385</v>
      </c>
      <c r="B3" s="544" t="s">
        <v>496</v>
      </c>
      <c r="C3" s="510" t="s">
        <v>386</v>
      </c>
      <c r="D3" s="509" t="s">
        <v>387</v>
      </c>
      <c r="E3" s="510" t="s">
        <v>16</v>
      </c>
      <c r="G3" s="509" t="s">
        <v>385</v>
      </c>
      <c r="H3" s="544" t="s">
        <v>496</v>
      </c>
      <c r="I3" s="510" t="s">
        <v>386</v>
      </c>
      <c r="J3" s="509" t="s">
        <v>387</v>
      </c>
      <c r="K3" s="510" t="s">
        <v>16</v>
      </c>
      <c r="L3" s="512"/>
      <c r="M3" s="509" t="s">
        <v>385</v>
      </c>
      <c r="N3" s="544" t="s">
        <v>496</v>
      </c>
      <c r="O3" s="510" t="s">
        <v>386</v>
      </c>
      <c r="P3" s="509" t="s">
        <v>387</v>
      </c>
      <c r="Q3" s="510" t="s">
        <v>16</v>
      </c>
      <c r="S3" s="509" t="s">
        <v>385</v>
      </c>
      <c r="T3" s="544" t="s">
        <v>496</v>
      </c>
      <c r="U3" s="510" t="s">
        <v>386</v>
      </c>
      <c r="V3" s="509" t="s">
        <v>387</v>
      </c>
      <c r="W3" s="510" t="s">
        <v>16</v>
      </c>
      <c r="Z3" s="477"/>
      <c r="AA3" s="477"/>
      <c r="AB3" s="477"/>
      <c r="AC3" s="477"/>
      <c r="AD3" s="601"/>
    </row>
    <row r="4" spans="1:30" s="113" customFormat="1" ht="15" customHeight="1">
      <c r="A4" s="362" t="s">
        <v>536</v>
      </c>
      <c r="B4" s="525" t="s">
        <v>392</v>
      </c>
      <c r="C4" s="526">
        <v>0.7</v>
      </c>
      <c r="D4" s="525">
        <v>28</v>
      </c>
      <c r="E4" s="526">
        <f t="shared" ref="E4:E16" si="0">+C4*D4</f>
        <v>19.599999999999998</v>
      </c>
      <c r="G4" s="84">
        <v>2</v>
      </c>
      <c r="H4" s="542" t="s">
        <v>391</v>
      </c>
      <c r="I4" s="543">
        <v>1.1299999999999999</v>
      </c>
      <c r="J4" s="542">
        <v>13</v>
      </c>
      <c r="K4" s="543">
        <f t="shared" ref="K4:K20" si="1">+I4*J4</f>
        <v>14.689999999999998</v>
      </c>
      <c r="L4" s="517"/>
      <c r="M4" s="84">
        <v>8</v>
      </c>
      <c r="N4" s="540" t="s">
        <v>393</v>
      </c>
      <c r="O4" s="541">
        <v>3.18</v>
      </c>
      <c r="P4" s="540">
        <v>6</v>
      </c>
      <c r="Q4" s="541">
        <f t="shared" ref="Q4:Q13" si="2">+O4*P4</f>
        <v>19.080000000000002</v>
      </c>
      <c r="S4" s="84">
        <v>1</v>
      </c>
      <c r="T4" s="521" t="s">
        <v>390</v>
      </c>
      <c r="U4" s="522">
        <v>4.18</v>
      </c>
      <c r="V4" s="521">
        <v>6</v>
      </c>
      <c r="W4" s="522">
        <f>+U4*V4</f>
        <v>25.08</v>
      </c>
      <c r="Z4" s="477"/>
      <c r="AA4" s="477"/>
      <c r="AB4" s="477"/>
      <c r="AC4" s="477"/>
      <c r="AD4" s="601"/>
    </row>
    <row r="5" spans="1:30" s="113" customFormat="1" ht="15" customHeight="1">
      <c r="A5" s="362">
        <v>21</v>
      </c>
      <c r="B5" s="525" t="s">
        <v>392</v>
      </c>
      <c r="C5" s="526">
        <v>0.73</v>
      </c>
      <c r="D5" s="525">
        <v>6</v>
      </c>
      <c r="E5" s="526">
        <f t="shared" si="0"/>
        <v>4.38</v>
      </c>
      <c r="G5" s="84">
        <v>3</v>
      </c>
      <c r="H5" s="542" t="s">
        <v>391</v>
      </c>
      <c r="I5" s="543">
        <v>1.29</v>
      </c>
      <c r="J5" s="542">
        <v>6</v>
      </c>
      <c r="K5" s="543">
        <f t="shared" si="1"/>
        <v>7.74</v>
      </c>
      <c r="L5" s="512"/>
      <c r="M5" s="84">
        <v>17</v>
      </c>
      <c r="N5" s="540" t="s">
        <v>393</v>
      </c>
      <c r="O5" s="541">
        <v>1.5</v>
      </c>
      <c r="P5" s="540">
        <v>2</v>
      </c>
      <c r="Q5" s="541">
        <f t="shared" si="2"/>
        <v>3</v>
      </c>
      <c r="S5" s="84">
        <v>7</v>
      </c>
      <c r="T5" s="521" t="s">
        <v>390</v>
      </c>
      <c r="U5" s="522">
        <v>1.56</v>
      </c>
      <c r="V5" s="521">
        <v>6</v>
      </c>
      <c r="W5" s="522">
        <f t="shared" ref="W5:W14" si="3">+U5*V5</f>
        <v>9.36</v>
      </c>
      <c r="Z5" s="477"/>
      <c r="AA5" s="477"/>
      <c r="AB5" s="477"/>
      <c r="AC5" s="477"/>
      <c r="AD5" s="601"/>
    </row>
    <row r="6" spans="1:30" s="113" customFormat="1" ht="15" customHeight="1">
      <c r="A6" s="84">
        <v>22</v>
      </c>
      <c r="B6" s="525" t="s">
        <v>392</v>
      </c>
      <c r="C6" s="526">
        <v>2.2999999999999998</v>
      </c>
      <c r="D6" s="525">
        <v>15</v>
      </c>
      <c r="E6" s="526">
        <f t="shared" si="0"/>
        <v>34.5</v>
      </c>
      <c r="G6" s="84">
        <v>4</v>
      </c>
      <c r="H6" s="542" t="s">
        <v>391</v>
      </c>
      <c r="I6" s="543">
        <v>1.1299999999999999</v>
      </c>
      <c r="J6" s="542">
        <v>4</v>
      </c>
      <c r="K6" s="543">
        <f t="shared" si="1"/>
        <v>4.5199999999999996</v>
      </c>
      <c r="L6" s="512"/>
      <c r="M6" s="84">
        <v>20</v>
      </c>
      <c r="N6" s="540" t="s">
        <v>393</v>
      </c>
      <c r="O6" s="541">
        <v>1.25</v>
      </c>
      <c r="P6" s="540">
        <v>4</v>
      </c>
      <c r="Q6" s="541">
        <f t="shared" si="2"/>
        <v>5</v>
      </c>
      <c r="S6" s="84">
        <v>11</v>
      </c>
      <c r="T6" s="521" t="s">
        <v>390</v>
      </c>
      <c r="U6" s="522">
        <v>4.18</v>
      </c>
      <c r="V6" s="521">
        <v>6</v>
      </c>
      <c r="W6" s="522">
        <f t="shared" si="3"/>
        <v>25.08</v>
      </c>
      <c r="Z6" s="477"/>
      <c r="AA6" s="477"/>
      <c r="AB6" s="477"/>
      <c r="AC6" s="477"/>
      <c r="AD6" s="601"/>
    </row>
    <row r="7" spans="1:30" s="113" customFormat="1" ht="15" customHeight="1">
      <c r="A7" s="84">
        <v>23</v>
      </c>
      <c r="B7" s="525" t="s">
        <v>392</v>
      </c>
      <c r="C7" s="526">
        <v>0.25</v>
      </c>
      <c r="D7" s="525">
        <v>20</v>
      </c>
      <c r="E7" s="526">
        <f t="shared" si="0"/>
        <v>5</v>
      </c>
      <c r="G7" s="84">
        <v>5</v>
      </c>
      <c r="H7" s="542" t="s">
        <v>391</v>
      </c>
      <c r="I7" s="543">
        <v>1.33</v>
      </c>
      <c r="J7" s="542">
        <v>6</v>
      </c>
      <c r="K7" s="543">
        <f t="shared" si="1"/>
        <v>7.98</v>
      </c>
      <c r="L7" s="512"/>
      <c r="M7" s="84">
        <v>24</v>
      </c>
      <c r="N7" s="540" t="s">
        <v>393</v>
      </c>
      <c r="O7" s="541">
        <v>2</v>
      </c>
      <c r="P7" s="540">
        <v>12</v>
      </c>
      <c r="Q7" s="541">
        <f t="shared" si="2"/>
        <v>24</v>
      </c>
      <c r="S7" s="362" t="s">
        <v>536</v>
      </c>
      <c r="T7" s="521" t="s">
        <v>390</v>
      </c>
      <c r="U7" s="522">
        <v>3.41</v>
      </c>
      <c r="V7" s="521">
        <v>2</v>
      </c>
      <c r="W7" s="522">
        <f t="shared" si="3"/>
        <v>6.82</v>
      </c>
      <c r="Z7" s="477"/>
      <c r="AA7" s="477"/>
      <c r="AB7" s="477"/>
      <c r="AC7" s="477"/>
      <c r="AD7" s="601"/>
    </row>
    <row r="8" spans="1:30" s="113" customFormat="1" ht="15" customHeight="1">
      <c r="A8" s="84"/>
      <c r="B8" s="525" t="s">
        <v>392</v>
      </c>
      <c r="C8" s="526"/>
      <c r="D8" s="525"/>
      <c r="E8" s="526">
        <f t="shared" si="0"/>
        <v>0</v>
      </c>
      <c r="G8" s="84">
        <v>6</v>
      </c>
      <c r="H8" s="542" t="s">
        <v>391</v>
      </c>
      <c r="I8" s="543">
        <v>1.1299999999999999</v>
      </c>
      <c r="J8" s="542">
        <v>4</v>
      </c>
      <c r="K8" s="543">
        <f t="shared" si="1"/>
        <v>4.5199999999999996</v>
      </c>
      <c r="L8" s="512"/>
      <c r="M8" s="362"/>
      <c r="N8" s="540" t="s">
        <v>393</v>
      </c>
      <c r="O8" s="541"/>
      <c r="P8" s="540"/>
      <c r="Q8" s="541">
        <f t="shared" si="2"/>
        <v>0</v>
      </c>
      <c r="S8" s="362" t="s">
        <v>536</v>
      </c>
      <c r="T8" s="521" t="s">
        <v>390</v>
      </c>
      <c r="U8" s="522">
        <v>1.66</v>
      </c>
      <c r="V8" s="521">
        <v>4</v>
      </c>
      <c r="W8" s="522">
        <f t="shared" si="3"/>
        <v>6.64</v>
      </c>
      <c r="Z8" s="477"/>
      <c r="AA8" s="477"/>
      <c r="AB8" s="477"/>
      <c r="AC8" s="477"/>
      <c r="AD8" s="601"/>
    </row>
    <row r="9" spans="1:30" s="113" customFormat="1" ht="15" customHeight="1">
      <c r="A9" s="84"/>
      <c r="B9" s="525" t="s">
        <v>392</v>
      </c>
      <c r="C9" s="526"/>
      <c r="D9" s="525"/>
      <c r="E9" s="526">
        <f t="shared" si="0"/>
        <v>0</v>
      </c>
      <c r="G9" s="84">
        <v>9</v>
      </c>
      <c r="H9" s="542" t="s">
        <v>391</v>
      </c>
      <c r="I9" s="543">
        <v>1.44</v>
      </c>
      <c r="J9" s="542">
        <v>6</v>
      </c>
      <c r="K9" s="543">
        <f t="shared" si="1"/>
        <v>8.64</v>
      </c>
      <c r="L9" s="512"/>
      <c r="M9" s="362"/>
      <c r="N9" s="540" t="s">
        <v>393</v>
      </c>
      <c r="O9" s="541"/>
      <c r="P9" s="540"/>
      <c r="Q9" s="541">
        <f t="shared" si="2"/>
        <v>0</v>
      </c>
      <c r="S9" s="84"/>
      <c r="T9" s="521" t="s">
        <v>390</v>
      </c>
      <c r="U9" s="522"/>
      <c r="V9" s="521"/>
      <c r="W9" s="522">
        <f t="shared" si="3"/>
        <v>0</v>
      </c>
      <c r="Z9" s="477"/>
      <c r="AA9" s="477"/>
      <c r="AB9" s="477"/>
      <c r="AC9" s="477"/>
      <c r="AD9" s="601"/>
    </row>
    <row r="10" spans="1:30" s="113" customFormat="1" ht="15" customHeight="1">
      <c r="A10" s="84"/>
      <c r="B10" s="525" t="s">
        <v>392</v>
      </c>
      <c r="C10" s="526"/>
      <c r="D10" s="525"/>
      <c r="E10" s="526">
        <f t="shared" si="0"/>
        <v>0</v>
      </c>
      <c r="G10" s="84">
        <v>10</v>
      </c>
      <c r="H10" s="542" t="s">
        <v>391</v>
      </c>
      <c r="I10" s="543">
        <v>3.12</v>
      </c>
      <c r="J10" s="542">
        <v>6</v>
      </c>
      <c r="K10" s="543">
        <f t="shared" si="1"/>
        <v>18.72</v>
      </c>
      <c r="L10" s="512"/>
      <c r="M10" s="362"/>
      <c r="N10" s="540" t="s">
        <v>393</v>
      </c>
      <c r="O10" s="541"/>
      <c r="P10" s="540"/>
      <c r="Q10" s="541">
        <f t="shared" si="2"/>
        <v>0</v>
      </c>
      <c r="S10" s="84"/>
      <c r="T10" s="521" t="s">
        <v>390</v>
      </c>
      <c r="U10" s="522"/>
      <c r="V10" s="521"/>
      <c r="W10" s="522">
        <f t="shared" si="3"/>
        <v>0</v>
      </c>
      <c r="Z10" s="477"/>
      <c r="AA10" s="477"/>
      <c r="AB10" s="477"/>
      <c r="AC10" s="477"/>
      <c r="AD10" s="601"/>
    </row>
    <row r="11" spans="1:30" s="113" customFormat="1" ht="15" customHeight="1">
      <c r="A11" s="84"/>
      <c r="B11" s="525" t="s">
        <v>392</v>
      </c>
      <c r="C11" s="526"/>
      <c r="D11" s="525"/>
      <c r="E11" s="526">
        <f t="shared" si="0"/>
        <v>0</v>
      </c>
      <c r="G11" s="84">
        <v>12</v>
      </c>
      <c r="H11" s="542" t="s">
        <v>391</v>
      </c>
      <c r="I11" s="543">
        <v>1.1299999999999999</v>
      </c>
      <c r="J11" s="542">
        <v>13</v>
      </c>
      <c r="K11" s="543">
        <f t="shared" si="1"/>
        <v>14.689999999999998</v>
      </c>
      <c r="L11" s="512"/>
      <c r="M11" s="362"/>
      <c r="N11" s="540" t="s">
        <v>393</v>
      </c>
      <c r="O11" s="541"/>
      <c r="P11" s="540"/>
      <c r="Q11" s="541">
        <f t="shared" si="2"/>
        <v>0</v>
      </c>
      <c r="S11" s="84"/>
      <c r="T11" s="521" t="s">
        <v>390</v>
      </c>
      <c r="U11" s="522"/>
      <c r="V11" s="521"/>
      <c r="W11" s="522">
        <f t="shared" si="3"/>
        <v>0</v>
      </c>
      <c r="Z11" s="477"/>
      <c r="AA11" s="477"/>
      <c r="AB11" s="477"/>
      <c r="AC11" s="477"/>
      <c r="AD11" s="601"/>
    </row>
    <row r="12" spans="1:30" s="113" customFormat="1" ht="15" customHeight="1">
      <c r="A12" s="84"/>
      <c r="B12" s="525" t="s">
        <v>392</v>
      </c>
      <c r="C12" s="526"/>
      <c r="D12" s="525"/>
      <c r="E12" s="526">
        <f t="shared" si="0"/>
        <v>0</v>
      </c>
      <c r="G12" s="84">
        <v>13</v>
      </c>
      <c r="H12" s="542" t="s">
        <v>391</v>
      </c>
      <c r="I12" s="543">
        <v>1.27</v>
      </c>
      <c r="J12" s="542">
        <v>6</v>
      </c>
      <c r="K12" s="543">
        <f t="shared" si="1"/>
        <v>7.62</v>
      </c>
      <c r="L12" s="512"/>
      <c r="M12" s="362"/>
      <c r="N12" s="540" t="s">
        <v>393</v>
      </c>
      <c r="O12" s="541"/>
      <c r="P12" s="540"/>
      <c r="Q12" s="541">
        <f t="shared" si="2"/>
        <v>0</v>
      </c>
      <c r="S12" s="84"/>
      <c r="T12" s="521" t="s">
        <v>390</v>
      </c>
      <c r="U12" s="522"/>
      <c r="V12" s="521"/>
      <c r="W12" s="522">
        <f t="shared" si="3"/>
        <v>0</v>
      </c>
      <c r="Z12" s="477"/>
      <c r="AA12" s="477"/>
      <c r="AB12" s="477"/>
      <c r="AC12" s="477"/>
      <c r="AD12" s="601"/>
    </row>
    <row r="13" spans="1:30" s="113" customFormat="1" ht="15" customHeight="1">
      <c r="A13" s="84"/>
      <c r="B13" s="525" t="s">
        <v>392</v>
      </c>
      <c r="C13" s="526"/>
      <c r="D13" s="525"/>
      <c r="E13" s="526">
        <f t="shared" si="0"/>
        <v>0</v>
      </c>
      <c r="G13" s="84">
        <v>14</v>
      </c>
      <c r="H13" s="542" t="s">
        <v>391</v>
      </c>
      <c r="I13" s="543">
        <v>1.1299999999999999</v>
      </c>
      <c r="J13" s="542">
        <v>4</v>
      </c>
      <c r="K13" s="543">
        <f t="shared" si="1"/>
        <v>4.5199999999999996</v>
      </c>
      <c r="L13" s="512"/>
      <c r="M13" s="362"/>
      <c r="N13" s="540" t="s">
        <v>393</v>
      </c>
      <c r="O13" s="541"/>
      <c r="P13" s="540"/>
      <c r="Q13" s="541">
        <f t="shared" si="2"/>
        <v>0</v>
      </c>
      <c r="S13" s="84"/>
      <c r="T13" s="521" t="s">
        <v>390</v>
      </c>
      <c r="U13" s="522"/>
      <c r="V13" s="521"/>
      <c r="W13" s="522">
        <f t="shared" si="3"/>
        <v>0</v>
      </c>
      <c r="Z13" s="477"/>
      <c r="AA13" s="477"/>
      <c r="AB13" s="477"/>
      <c r="AC13" s="477"/>
      <c r="AD13" s="601"/>
    </row>
    <row r="14" spans="1:30" s="113" customFormat="1" ht="15" customHeight="1">
      <c r="A14" s="84"/>
      <c r="B14" s="525" t="s">
        <v>392</v>
      </c>
      <c r="C14" s="526"/>
      <c r="D14" s="525"/>
      <c r="E14" s="526">
        <f t="shared" si="0"/>
        <v>0</v>
      </c>
      <c r="G14" s="362">
        <v>15</v>
      </c>
      <c r="H14" s="542" t="s">
        <v>391</v>
      </c>
      <c r="I14" s="543">
        <v>1.33</v>
      </c>
      <c r="J14" s="542">
        <v>6</v>
      </c>
      <c r="K14" s="543">
        <f t="shared" si="1"/>
        <v>7.98</v>
      </c>
      <c r="L14" s="512"/>
      <c r="M14" s="362"/>
      <c r="N14" s="540"/>
      <c r="O14" s="541"/>
      <c r="P14" s="540"/>
      <c r="Q14" s="541"/>
      <c r="S14" s="84"/>
      <c r="T14" s="521" t="s">
        <v>390</v>
      </c>
      <c r="U14" s="522"/>
      <c r="V14" s="521"/>
      <c r="W14" s="522">
        <f t="shared" si="3"/>
        <v>0</v>
      </c>
      <c r="Y14" s="113" t="s">
        <v>536</v>
      </c>
      <c r="Z14" s="518">
        <v>1.25</v>
      </c>
      <c r="AA14" s="518">
        <v>0.2</v>
      </c>
      <c r="AB14" s="518">
        <v>0.2</v>
      </c>
      <c r="AC14" s="477">
        <v>2</v>
      </c>
      <c r="AD14" s="601">
        <f>Z14*AA14*AB14*AC14</f>
        <v>0.1</v>
      </c>
    </row>
    <row r="15" spans="1:30" s="113" customFormat="1" ht="15" customHeight="1">
      <c r="A15" s="84"/>
      <c r="B15" s="525" t="s">
        <v>392</v>
      </c>
      <c r="C15" s="526"/>
      <c r="D15" s="525"/>
      <c r="E15" s="526">
        <f t="shared" si="0"/>
        <v>0</v>
      </c>
      <c r="G15" s="362">
        <v>15</v>
      </c>
      <c r="H15" s="542" t="s">
        <v>391</v>
      </c>
      <c r="I15" s="543">
        <v>1.1299999999999999</v>
      </c>
      <c r="J15" s="542">
        <v>5</v>
      </c>
      <c r="K15" s="543">
        <f t="shared" si="1"/>
        <v>5.6499999999999995</v>
      </c>
      <c r="L15" s="512"/>
      <c r="M15" s="362"/>
      <c r="N15" s="540"/>
      <c r="O15" s="541"/>
      <c r="P15" s="540"/>
      <c r="Q15" s="541"/>
      <c r="S15" s="84"/>
      <c r="T15" s="521"/>
      <c r="U15" s="522"/>
      <c r="V15" s="521"/>
      <c r="W15" s="522"/>
      <c r="Z15" s="518">
        <v>2.5</v>
      </c>
      <c r="AA15" s="518">
        <v>0.2</v>
      </c>
      <c r="AB15" s="518">
        <v>0.2</v>
      </c>
      <c r="AC15" s="477">
        <v>1</v>
      </c>
      <c r="AD15" s="601">
        <f t="shared" ref="AD15:AD20" si="4">Z15*AA15*AB15*AC15</f>
        <v>0.1</v>
      </c>
    </row>
    <row r="16" spans="1:30" s="113" customFormat="1" ht="15" customHeight="1">
      <c r="A16" s="84"/>
      <c r="B16" s="525" t="s">
        <v>392</v>
      </c>
      <c r="C16" s="526"/>
      <c r="D16" s="525"/>
      <c r="E16" s="526">
        <f t="shared" si="0"/>
        <v>0</v>
      </c>
      <c r="G16" s="362">
        <v>18</v>
      </c>
      <c r="H16" s="542" t="s">
        <v>391</v>
      </c>
      <c r="I16" s="543">
        <v>1.44</v>
      </c>
      <c r="J16" s="542">
        <v>2</v>
      </c>
      <c r="K16" s="543">
        <f t="shared" si="1"/>
        <v>2.88</v>
      </c>
      <c r="L16" s="512"/>
      <c r="M16" s="362"/>
      <c r="N16" s="540"/>
      <c r="O16" s="541"/>
      <c r="P16" s="540"/>
      <c r="Q16" s="541"/>
      <c r="S16" s="84"/>
      <c r="T16" s="521"/>
      <c r="U16" s="522"/>
      <c r="V16" s="521"/>
      <c r="W16" s="522"/>
      <c r="Y16" s="113" t="s">
        <v>537</v>
      </c>
      <c r="Z16" s="518">
        <v>2.5</v>
      </c>
      <c r="AA16" s="518">
        <v>1.05</v>
      </c>
      <c r="AB16" s="518">
        <v>0.15</v>
      </c>
      <c r="AC16" s="477">
        <v>1</v>
      </c>
      <c r="AD16" s="601">
        <f t="shared" si="4"/>
        <v>0.39374999999999999</v>
      </c>
    </row>
    <row r="17" spans="1:30" s="113" customFormat="1" ht="15" customHeight="1">
      <c r="A17" s="84"/>
      <c r="B17" s="525"/>
      <c r="C17" s="526"/>
      <c r="D17" s="525"/>
      <c r="E17" s="526"/>
      <c r="G17" s="362">
        <v>19</v>
      </c>
      <c r="H17" s="542" t="s">
        <v>391</v>
      </c>
      <c r="I17" s="543">
        <v>1.27</v>
      </c>
      <c r="J17" s="542">
        <v>6</v>
      </c>
      <c r="K17" s="543">
        <f t="shared" si="1"/>
        <v>7.62</v>
      </c>
      <c r="L17" s="512"/>
      <c r="M17" s="362"/>
      <c r="N17" s="540"/>
      <c r="O17" s="541"/>
      <c r="P17" s="540"/>
      <c r="Q17" s="541"/>
      <c r="S17" s="84"/>
      <c r="T17" s="521"/>
      <c r="U17" s="522"/>
      <c r="V17" s="521"/>
      <c r="W17" s="522"/>
      <c r="Y17" s="113" t="s">
        <v>538</v>
      </c>
      <c r="Z17" s="518">
        <v>1</v>
      </c>
      <c r="AA17" s="518">
        <v>0.27</v>
      </c>
      <c r="AB17" s="518">
        <v>0.18</v>
      </c>
      <c r="AC17" s="477">
        <v>8</v>
      </c>
      <c r="AD17" s="601">
        <f t="shared" si="4"/>
        <v>0.38880000000000003</v>
      </c>
    </row>
    <row r="18" spans="1:30" s="113" customFormat="1" ht="15" customHeight="1">
      <c r="A18" s="84"/>
      <c r="B18" s="525"/>
      <c r="C18" s="526"/>
      <c r="D18" s="525"/>
      <c r="E18" s="526"/>
      <c r="G18" s="362" t="s">
        <v>536</v>
      </c>
      <c r="H18" s="542"/>
      <c r="I18" s="543">
        <v>3.09</v>
      </c>
      <c r="J18" s="542">
        <v>2</v>
      </c>
      <c r="K18" s="543">
        <f t="shared" si="1"/>
        <v>6.18</v>
      </c>
      <c r="L18" s="512"/>
      <c r="M18" s="362"/>
      <c r="N18" s="540"/>
      <c r="O18" s="541"/>
      <c r="P18" s="540"/>
      <c r="Q18" s="541"/>
      <c r="S18" s="84"/>
      <c r="T18" s="521"/>
      <c r="U18" s="522"/>
      <c r="V18" s="521"/>
      <c r="W18" s="522"/>
      <c r="Y18" s="113" t="s">
        <v>539</v>
      </c>
      <c r="Z18" s="518">
        <v>2.85</v>
      </c>
      <c r="AA18" s="518">
        <v>1</v>
      </c>
      <c r="AB18" s="518">
        <v>0.15</v>
      </c>
      <c r="AC18" s="477">
        <v>2</v>
      </c>
      <c r="AD18" s="601">
        <f t="shared" si="4"/>
        <v>0.85499999999999998</v>
      </c>
    </row>
    <row r="19" spans="1:30" s="113" customFormat="1" ht="15" customHeight="1">
      <c r="A19" s="84"/>
      <c r="B19" s="525"/>
      <c r="C19" s="526"/>
      <c r="D19" s="525"/>
      <c r="E19" s="526"/>
      <c r="G19" s="362" t="s">
        <v>536</v>
      </c>
      <c r="H19" s="542"/>
      <c r="I19" s="543">
        <v>1.54</v>
      </c>
      <c r="J19" s="542">
        <v>4</v>
      </c>
      <c r="K19" s="543">
        <f t="shared" si="1"/>
        <v>6.16</v>
      </c>
      <c r="L19" s="512"/>
      <c r="M19" s="362"/>
      <c r="N19" s="540"/>
      <c r="O19" s="541"/>
      <c r="P19" s="540"/>
      <c r="Q19" s="541"/>
      <c r="S19" s="84"/>
      <c r="T19" s="521"/>
      <c r="U19" s="522"/>
      <c r="V19" s="521"/>
      <c r="W19" s="522"/>
      <c r="Y19" s="113" t="s">
        <v>540</v>
      </c>
      <c r="Z19" s="518">
        <v>1</v>
      </c>
      <c r="AA19" s="518">
        <v>0.6</v>
      </c>
      <c r="AB19" s="518">
        <v>0.15</v>
      </c>
      <c r="AC19" s="477">
        <v>1</v>
      </c>
      <c r="AD19" s="601">
        <f t="shared" si="4"/>
        <v>0.09</v>
      </c>
    </row>
    <row r="20" spans="1:30" s="113" customFormat="1" ht="15" customHeight="1">
      <c r="A20" s="84"/>
      <c r="B20" s="525"/>
      <c r="C20" s="526"/>
      <c r="D20" s="525"/>
      <c r="E20" s="526"/>
      <c r="G20" s="362"/>
      <c r="H20" s="542"/>
      <c r="I20" s="543"/>
      <c r="J20" s="542"/>
      <c r="K20" s="543">
        <f t="shared" si="1"/>
        <v>0</v>
      </c>
      <c r="L20" s="512"/>
      <c r="M20" s="362"/>
      <c r="N20" s="540"/>
      <c r="O20" s="541"/>
      <c r="P20" s="540"/>
      <c r="Q20" s="541"/>
      <c r="S20" s="84"/>
      <c r="T20" s="521"/>
      <c r="U20" s="522"/>
      <c r="V20" s="521"/>
      <c r="W20" s="522"/>
      <c r="Z20" s="518">
        <v>1</v>
      </c>
      <c r="AA20" s="518">
        <v>1.5</v>
      </c>
      <c r="AB20" s="518">
        <v>0.2</v>
      </c>
      <c r="AC20" s="477">
        <v>1</v>
      </c>
      <c r="AD20" s="601">
        <f t="shared" si="4"/>
        <v>0.30000000000000004</v>
      </c>
    </row>
    <row r="21" spans="1:30" s="113" customFormat="1" ht="18" customHeight="1">
      <c r="A21" s="635"/>
      <c r="B21" s="636"/>
      <c r="C21" s="562"/>
      <c r="D21" s="637"/>
      <c r="E21" s="400"/>
      <c r="G21" s="635"/>
      <c r="H21" s="636"/>
      <c r="I21" s="562"/>
      <c r="J21" s="637"/>
      <c r="K21" s="400"/>
      <c r="L21" s="512"/>
      <c r="M21" s="635"/>
      <c r="N21" s="636"/>
      <c r="O21" s="562"/>
      <c r="P21" s="637"/>
      <c r="Q21" s="400"/>
      <c r="S21" s="563"/>
      <c r="T21" s="636"/>
      <c r="U21" s="562"/>
      <c r="V21" s="637"/>
      <c r="W21" s="400"/>
      <c r="Z21" s="477"/>
      <c r="AA21" s="477"/>
      <c r="AB21" s="477"/>
      <c r="AC21" s="477"/>
      <c r="AD21" s="601"/>
    </row>
    <row r="22" spans="1:30" s="113" customFormat="1" ht="18" customHeight="1">
      <c r="A22" s="827" t="s">
        <v>16</v>
      </c>
      <c r="B22" s="828"/>
      <c r="C22" s="828"/>
      <c r="D22" s="829"/>
      <c r="E22" s="400">
        <f>SUM(E4:E20)</f>
        <v>63.48</v>
      </c>
      <c r="G22" s="830" t="s">
        <v>16</v>
      </c>
      <c r="H22" s="831"/>
      <c r="I22" s="831"/>
      <c r="J22" s="832"/>
      <c r="K22" s="547">
        <f>SUM(K4:K20)</f>
        <v>130.11000000000001</v>
      </c>
      <c r="L22" s="512"/>
      <c r="M22" s="830" t="s">
        <v>16</v>
      </c>
      <c r="N22" s="831"/>
      <c r="O22" s="831"/>
      <c r="P22" s="832"/>
      <c r="Q22" s="547">
        <f>SUM(Q4:Q20)</f>
        <v>51.08</v>
      </c>
      <c r="S22" s="830" t="s">
        <v>16</v>
      </c>
      <c r="T22" s="831"/>
      <c r="U22" s="831"/>
      <c r="V22" s="832"/>
      <c r="W22" s="547">
        <f>SUM(W4:W20)</f>
        <v>72.98</v>
      </c>
      <c r="Y22" s="638"/>
      <c r="Z22" s="477"/>
      <c r="AA22" s="477"/>
      <c r="AB22" s="477"/>
      <c r="AC22" s="477" t="s">
        <v>16</v>
      </c>
      <c r="AD22" s="640">
        <f>SUM(AD14:AD21)</f>
        <v>2.2275499999999999</v>
      </c>
    </row>
    <row r="23" spans="1:30" s="113" customFormat="1" ht="15" customHeight="1">
      <c r="A23" s="833" t="s">
        <v>497</v>
      </c>
      <c r="B23" s="834"/>
      <c r="C23" s="834"/>
      <c r="D23" s="835"/>
      <c r="E23" s="84">
        <v>1.05</v>
      </c>
      <c r="G23" s="833" t="s">
        <v>497</v>
      </c>
      <c r="H23" s="834"/>
      <c r="I23" s="834"/>
      <c r="J23" s="835"/>
      <c r="K23" s="84">
        <v>1.05</v>
      </c>
      <c r="M23" s="833" t="s">
        <v>497</v>
      </c>
      <c r="N23" s="834"/>
      <c r="O23" s="834"/>
      <c r="P23" s="835"/>
      <c r="Q23" s="84">
        <v>1.05</v>
      </c>
      <c r="S23" s="833" t="s">
        <v>497</v>
      </c>
      <c r="T23" s="834"/>
      <c r="U23" s="834"/>
      <c r="V23" s="835"/>
      <c r="W23" s="84">
        <v>1.05</v>
      </c>
      <c r="Z23" s="477"/>
      <c r="AA23" s="477"/>
      <c r="AB23" s="477"/>
      <c r="AC23" s="477"/>
      <c r="AD23" s="601"/>
    </row>
    <row r="24" spans="1:30" s="113" customFormat="1" ht="17.25" customHeight="1">
      <c r="A24" s="821" t="s">
        <v>64</v>
      </c>
      <c r="B24" s="822"/>
      <c r="C24" s="822"/>
      <c r="D24" s="823"/>
      <c r="E24" s="548">
        <f>+E22*E23</f>
        <v>66.653999999999996</v>
      </c>
      <c r="G24" s="821" t="s">
        <v>64</v>
      </c>
      <c r="H24" s="822"/>
      <c r="I24" s="822"/>
      <c r="J24" s="823"/>
      <c r="K24" s="548">
        <f>+K22*K23</f>
        <v>136.61550000000003</v>
      </c>
      <c r="M24" s="821" t="s">
        <v>64</v>
      </c>
      <c r="N24" s="822"/>
      <c r="O24" s="822"/>
      <c r="P24" s="823"/>
      <c r="Q24" s="548">
        <f>+Q22*Q23</f>
        <v>53.634</v>
      </c>
      <c r="S24" s="821" t="s">
        <v>64</v>
      </c>
      <c r="T24" s="822"/>
      <c r="U24" s="822"/>
      <c r="V24" s="823"/>
      <c r="W24" s="548">
        <f>+W22*W23</f>
        <v>76.629000000000005</v>
      </c>
      <c r="Z24" s="477"/>
      <c r="AA24" s="477"/>
      <c r="AB24" s="477"/>
      <c r="AC24" s="477"/>
      <c r="AD24" s="601"/>
    </row>
    <row r="25" spans="1:30" s="113" customFormat="1" ht="18" customHeight="1">
      <c r="A25" s="824" t="s">
        <v>498</v>
      </c>
      <c r="B25" s="825"/>
      <c r="C25" s="825"/>
      <c r="D25" s="826"/>
      <c r="E25" s="549">
        <f>+E24/11.7</f>
        <v>5.6969230769230768</v>
      </c>
      <c r="G25" s="824" t="s">
        <v>499</v>
      </c>
      <c r="H25" s="825"/>
      <c r="I25" s="825"/>
      <c r="J25" s="826"/>
      <c r="K25" s="549">
        <f>+K24/11.7</f>
        <v>11.676538461538465</v>
      </c>
      <c r="M25" s="824" t="s">
        <v>500</v>
      </c>
      <c r="N25" s="825"/>
      <c r="O25" s="825"/>
      <c r="P25" s="826"/>
      <c r="Q25" s="549">
        <f>+Q24/11.7</f>
        <v>4.5841025641025643</v>
      </c>
      <c r="S25" s="824" t="s">
        <v>501</v>
      </c>
      <c r="T25" s="825"/>
      <c r="U25" s="825"/>
      <c r="V25" s="826"/>
      <c r="W25" s="549">
        <f>+W24/11.7</f>
        <v>6.5494871794871807</v>
      </c>
      <c r="Z25" s="477"/>
      <c r="AA25" s="477"/>
      <c r="AB25" s="477"/>
      <c r="AC25" s="477"/>
      <c r="AD25" s="601"/>
    </row>
    <row r="26" spans="1:30">
      <c r="D26" s="555" t="s">
        <v>387</v>
      </c>
      <c r="E26" s="554">
        <v>6</v>
      </c>
      <c r="J26" s="555" t="s">
        <v>387</v>
      </c>
      <c r="K26" s="554">
        <v>12</v>
      </c>
      <c r="P26" s="555" t="s">
        <v>387</v>
      </c>
      <c r="Q26" s="554">
        <v>5</v>
      </c>
      <c r="V26" s="555" t="s">
        <v>387</v>
      </c>
      <c r="W26" s="554">
        <v>7</v>
      </c>
    </row>
    <row r="29" spans="1:30">
      <c r="G29" s="224"/>
      <c r="H29" s="224"/>
      <c r="I29" s="224"/>
    </row>
    <row r="31" spans="1:30">
      <c r="Q31" s="639"/>
    </row>
  </sheetData>
  <mergeCells count="16">
    <mergeCell ref="A22:D22"/>
    <mergeCell ref="G22:J22"/>
    <mergeCell ref="M22:P22"/>
    <mergeCell ref="S22:V22"/>
    <mergeCell ref="A23:D23"/>
    <mergeCell ref="G23:J23"/>
    <mergeCell ref="M23:P23"/>
    <mergeCell ref="S23:V23"/>
    <mergeCell ref="A24:D24"/>
    <mergeCell ref="G24:J24"/>
    <mergeCell ref="M24:P24"/>
    <mergeCell ref="S24:V24"/>
    <mergeCell ref="A25:D25"/>
    <mergeCell ref="G25:J25"/>
    <mergeCell ref="M25:P25"/>
    <mergeCell ref="S25:V25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10" sqref="F10"/>
    </sheetView>
  </sheetViews>
  <sheetFormatPr baseColWidth="10" defaultRowHeight="12.75"/>
  <cols>
    <col min="1" max="1" width="15.5703125" style="213" customWidth="1"/>
    <col min="2" max="7" width="11.42578125" style="345"/>
  </cols>
  <sheetData>
    <row r="1" spans="1:7" ht="15" customHeight="1">
      <c r="A1" s="641" t="s">
        <v>541</v>
      </c>
      <c r="B1" s="556" t="s">
        <v>542</v>
      </c>
      <c r="C1" s="556" t="s">
        <v>543</v>
      </c>
      <c r="D1" s="556" t="s">
        <v>544</v>
      </c>
      <c r="E1" s="556" t="s">
        <v>545</v>
      </c>
      <c r="F1" s="556" t="s">
        <v>471</v>
      </c>
      <c r="G1" s="643" t="s">
        <v>16</v>
      </c>
    </row>
    <row r="2" spans="1:7" ht="18" customHeight="1">
      <c r="A2" s="642" t="s">
        <v>392</v>
      </c>
      <c r="B2" s="557">
        <v>6</v>
      </c>
      <c r="C2" s="557">
        <v>38</v>
      </c>
      <c r="D2" s="557">
        <v>55</v>
      </c>
      <c r="E2" s="557">
        <v>85</v>
      </c>
      <c r="F2" s="557">
        <v>84</v>
      </c>
      <c r="G2" s="644">
        <f>SUM(B2:F2)</f>
        <v>268</v>
      </c>
    </row>
    <row r="3" spans="1:7" ht="18" customHeight="1">
      <c r="A3" s="642" t="s">
        <v>391</v>
      </c>
      <c r="B3" s="557">
        <v>12</v>
      </c>
      <c r="C3" s="557">
        <v>5</v>
      </c>
      <c r="D3" s="557">
        <v>37</v>
      </c>
      <c r="E3" s="557">
        <v>107</v>
      </c>
      <c r="F3" s="557"/>
      <c r="G3" s="644">
        <f t="shared" ref="G3:G6" si="0">SUM(B3:F3)</f>
        <v>161</v>
      </c>
    </row>
    <row r="4" spans="1:7" ht="18" customHeight="1">
      <c r="A4" s="642" t="s">
        <v>393</v>
      </c>
      <c r="B4" s="557">
        <v>5</v>
      </c>
      <c r="C4" s="557">
        <v>6</v>
      </c>
      <c r="D4" s="557">
        <v>145</v>
      </c>
      <c r="E4" s="557"/>
      <c r="F4" s="557"/>
      <c r="G4" s="644">
        <f t="shared" si="0"/>
        <v>156</v>
      </c>
    </row>
    <row r="5" spans="1:7" ht="18" customHeight="1">
      <c r="A5" s="642" t="s">
        <v>390</v>
      </c>
      <c r="B5" s="557">
        <v>7</v>
      </c>
      <c r="C5" s="557">
        <v>6</v>
      </c>
      <c r="D5" s="557"/>
      <c r="E5" s="557"/>
      <c r="F5" s="557"/>
      <c r="G5" s="644">
        <f t="shared" si="0"/>
        <v>13</v>
      </c>
    </row>
    <row r="6" spans="1:7" ht="18" customHeight="1">
      <c r="A6" s="642" t="s">
        <v>494</v>
      </c>
      <c r="B6" s="557"/>
      <c r="C6" s="557">
        <v>8</v>
      </c>
      <c r="D6" s="557"/>
      <c r="E6" s="557"/>
      <c r="F6" s="557"/>
      <c r="G6" s="644">
        <f t="shared" si="0"/>
        <v>8</v>
      </c>
    </row>
    <row r="7" spans="1:7" ht="18" customHeight="1"/>
    <row r="8" spans="1:7" ht="18" customHeight="1"/>
    <row r="9" spans="1:7" ht="18" customHeight="1"/>
    <row r="10" spans="1:7" ht="18" customHeight="1"/>
    <row r="11" spans="1:7" ht="18" customHeight="1"/>
    <row r="12" spans="1:7" ht="18" customHeight="1"/>
    <row r="13" spans="1:7" ht="18" customHeight="1"/>
    <row r="14" spans="1:7" ht="18" customHeight="1"/>
    <row r="15" spans="1:7" ht="18" customHeight="1"/>
    <row r="16" spans="1:7" ht="18" customHeight="1"/>
    <row r="17" ht="18" customHeight="1"/>
    <row r="18" ht="18" customHeight="1"/>
    <row r="19" ht="18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0"/>
  <sheetViews>
    <sheetView topLeftCell="A97" workbookViewId="0">
      <selection activeCell="B139" sqref="B139"/>
    </sheetView>
  </sheetViews>
  <sheetFormatPr baseColWidth="10" defaultRowHeight="12.75"/>
  <cols>
    <col min="1" max="1" width="10.7109375" style="3" customWidth="1"/>
    <col min="2" max="2" width="44.42578125" style="1" customWidth="1"/>
    <col min="3" max="3" width="7.7109375" style="3" customWidth="1"/>
    <col min="4" max="4" width="11.5703125" style="3" customWidth="1"/>
    <col min="5" max="5" width="12.85546875" style="35" customWidth="1"/>
    <col min="6" max="6" width="14.28515625" style="35" customWidth="1"/>
    <col min="7" max="7" width="13.42578125" style="1" bestFit="1" customWidth="1"/>
    <col min="8" max="8" width="14.85546875" style="1" customWidth="1"/>
    <col min="9" max="16384" width="11.42578125" style="1"/>
  </cols>
  <sheetData>
    <row r="1" spans="1:7" ht="16.5" customHeight="1">
      <c r="A1" s="783" t="s">
        <v>207</v>
      </c>
      <c r="B1" s="783"/>
      <c r="C1" s="783"/>
      <c r="D1" s="783"/>
      <c r="E1" s="783"/>
      <c r="F1" s="783"/>
      <c r="G1" s="62"/>
    </row>
    <row r="2" spans="1:7" ht="16.5" customHeight="1">
      <c r="A2" s="783" t="s">
        <v>208</v>
      </c>
      <c r="B2" s="783"/>
      <c r="C2" s="783"/>
      <c r="D2" s="783"/>
      <c r="E2" s="783"/>
      <c r="F2" s="783"/>
      <c r="G2" s="62"/>
    </row>
    <row r="3" spans="1:7" ht="16.5" customHeight="1">
      <c r="A3" s="794" t="s">
        <v>209</v>
      </c>
      <c r="B3" s="794"/>
      <c r="C3" s="794"/>
      <c r="D3" s="794"/>
      <c r="E3" s="794"/>
      <c r="F3" s="794"/>
      <c r="G3" s="62"/>
    </row>
    <row r="4" spans="1:7" ht="12" customHeight="1">
      <c r="A4" s="62"/>
      <c r="B4" s="62"/>
      <c r="C4" s="62"/>
      <c r="D4" s="62"/>
      <c r="E4" s="62"/>
      <c r="F4" s="62"/>
      <c r="G4" s="62"/>
    </row>
    <row r="5" spans="1:7" ht="15" customHeight="1">
      <c r="A5" s="772" t="s">
        <v>164</v>
      </c>
      <c r="B5" s="772"/>
      <c r="C5" s="2"/>
    </row>
    <row r="6" spans="1:7" ht="15" customHeight="1"/>
    <row r="7" spans="1:7" s="3" customFormat="1" ht="18" customHeight="1">
      <c r="A7" s="20" t="s">
        <v>30</v>
      </c>
      <c r="B7" s="20" t="s">
        <v>31</v>
      </c>
      <c r="C7" s="20" t="s">
        <v>12</v>
      </c>
      <c r="D7" s="20" t="s">
        <v>32</v>
      </c>
      <c r="E7" s="37" t="s">
        <v>40</v>
      </c>
      <c r="F7" s="37" t="s">
        <v>33</v>
      </c>
    </row>
    <row r="8" spans="1:7" s="3" customFormat="1" ht="18" customHeight="1">
      <c r="A8" s="86" t="s">
        <v>119</v>
      </c>
      <c r="B8" s="136" t="s">
        <v>120</v>
      </c>
      <c r="C8" s="58" t="s">
        <v>129</v>
      </c>
      <c r="D8" s="119">
        <v>1</v>
      </c>
      <c r="E8" s="135">
        <v>750000</v>
      </c>
      <c r="F8" s="135">
        <f>+D8*E8</f>
        <v>750000</v>
      </c>
    </row>
    <row r="9" spans="1:7" ht="24" customHeight="1">
      <c r="A9" s="786" t="s">
        <v>165</v>
      </c>
      <c r="B9" s="787"/>
      <c r="C9" s="787"/>
      <c r="D9" s="787"/>
      <c r="E9" s="788"/>
      <c r="F9" s="117">
        <f>SUM(F8)</f>
        <v>750000</v>
      </c>
    </row>
    <row r="10" spans="1:7" ht="12" customHeight="1">
      <c r="A10" s="62"/>
      <c r="B10" s="62"/>
      <c r="C10" s="62"/>
      <c r="D10" s="62"/>
      <c r="E10" s="62"/>
      <c r="F10" s="62"/>
      <c r="G10" s="62"/>
    </row>
    <row r="11" spans="1:7" ht="15" customHeight="1">
      <c r="A11" s="772" t="s">
        <v>68</v>
      </c>
      <c r="B11" s="772"/>
      <c r="C11" s="2"/>
    </row>
    <row r="12" spans="1:7" ht="12" customHeight="1"/>
    <row r="13" spans="1:7" s="3" customFormat="1" ht="18" customHeight="1">
      <c r="A13" s="20" t="s">
        <v>30</v>
      </c>
      <c r="B13" s="20" t="s">
        <v>31</v>
      </c>
      <c r="C13" s="20" t="s">
        <v>12</v>
      </c>
      <c r="D13" s="20" t="s">
        <v>32</v>
      </c>
      <c r="E13" s="37" t="s">
        <v>40</v>
      </c>
      <c r="F13" s="37" t="s">
        <v>33</v>
      </c>
    </row>
    <row r="14" spans="1:7" s="3" customFormat="1" ht="18" customHeight="1">
      <c r="A14" s="86" t="s">
        <v>0</v>
      </c>
      <c r="B14" s="136" t="s">
        <v>210</v>
      </c>
      <c r="C14" s="58" t="s">
        <v>2</v>
      </c>
      <c r="D14" s="137">
        <v>66.408000000000001</v>
      </c>
      <c r="E14" s="135">
        <v>4000</v>
      </c>
      <c r="F14" s="339">
        <f>D14*E14</f>
        <v>265632</v>
      </c>
    </row>
    <row r="15" spans="1:7" s="3" customFormat="1" ht="18" customHeight="1">
      <c r="A15" s="86" t="s">
        <v>211</v>
      </c>
      <c r="B15" s="136" t="s">
        <v>213</v>
      </c>
      <c r="C15" s="58" t="s">
        <v>2</v>
      </c>
      <c r="D15" s="58">
        <v>15.593999999999999</v>
      </c>
      <c r="E15" s="135">
        <v>5000</v>
      </c>
      <c r="F15" s="226">
        <f t="shared" ref="F15:F16" si="0">D15*E15</f>
        <v>77970</v>
      </c>
    </row>
    <row r="16" spans="1:7" s="3" customFormat="1" ht="18" customHeight="1">
      <c r="A16" s="86" t="s">
        <v>212</v>
      </c>
      <c r="B16" s="136" t="s">
        <v>214</v>
      </c>
      <c r="C16" s="58" t="s">
        <v>2</v>
      </c>
      <c r="D16" s="137"/>
      <c r="E16" s="135"/>
      <c r="F16" s="226">
        <f t="shared" si="0"/>
        <v>0</v>
      </c>
    </row>
    <row r="17" spans="1:8" ht="24" customHeight="1">
      <c r="A17" s="786" t="s">
        <v>92</v>
      </c>
      <c r="B17" s="787"/>
      <c r="C17" s="787"/>
      <c r="D17" s="787"/>
      <c r="E17" s="788"/>
      <c r="F17" s="117">
        <f>SUM(F14:F16)</f>
        <v>343602</v>
      </c>
    </row>
    <row r="18" spans="1:8" ht="12" customHeight="1">
      <c r="A18" s="34"/>
      <c r="B18" s="5"/>
      <c r="C18" s="4"/>
      <c r="D18" s="48"/>
      <c r="E18" s="54"/>
      <c r="F18" s="61"/>
    </row>
    <row r="19" spans="1:8" ht="15" customHeight="1">
      <c r="A19" s="785" t="s">
        <v>179</v>
      </c>
      <c r="B19" s="785"/>
      <c r="C19" s="785"/>
      <c r="D19" s="785"/>
      <c r="E19" s="54"/>
      <c r="F19" s="57"/>
    </row>
    <row r="20" spans="1:8" ht="12" customHeight="1">
      <c r="A20" s="34"/>
      <c r="B20" s="5"/>
      <c r="C20" s="4"/>
      <c r="D20" s="48"/>
      <c r="E20" s="54"/>
      <c r="F20" s="57"/>
    </row>
    <row r="21" spans="1:8" s="3" customFormat="1" ht="18" customHeight="1">
      <c r="A21" s="20" t="s">
        <v>30</v>
      </c>
      <c r="B21" s="20" t="s">
        <v>31</v>
      </c>
      <c r="C21" s="20" t="s">
        <v>12</v>
      </c>
      <c r="D21" s="20" t="s">
        <v>32</v>
      </c>
      <c r="E21" s="37" t="s">
        <v>40</v>
      </c>
      <c r="F21" s="37" t="s">
        <v>33</v>
      </c>
    </row>
    <row r="22" spans="1:8" ht="40.5">
      <c r="A22" s="59" t="s">
        <v>3</v>
      </c>
      <c r="B22" s="15" t="s">
        <v>361</v>
      </c>
      <c r="C22" s="17" t="s">
        <v>2</v>
      </c>
      <c r="D22" s="26">
        <v>3.5049999999999999</v>
      </c>
      <c r="E22" s="40">
        <v>238500</v>
      </c>
      <c r="F22" s="338">
        <f>+D22*E22</f>
        <v>835942.5</v>
      </c>
    </row>
    <row r="23" spans="1:8" ht="27" customHeight="1">
      <c r="A23" s="86" t="s">
        <v>4</v>
      </c>
      <c r="B23" s="284" t="s">
        <v>215</v>
      </c>
      <c r="C23" s="16" t="s">
        <v>2</v>
      </c>
      <c r="D23" s="24">
        <v>20.504000000000001</v>
      </c>
      <c r="E23" s="118">
        <v>75000</v>
      </c>
      <c r="F23" s="69">
        <f t="shared" ref="F23:F28" si="1">+D23*E23</f>
        <v>1537800</v>
      </c>
    </row>
    <row r="24" spans="1:8" s="132" customFormat="1" ht="27" customHeight="1">
      <c r="A24" s="59" t="s">
        <v>5</v>
      </c>
      <c r="B24" s="285" t="s">
        <v>216</v>
      </c>
      <c r="C24" s="16" t="s">
        <v>2</v>
      </c>
      <c r="D24" s="24">
        <v>11.134</v>
      </c>
      <c r="E24" s="118">
        <v>346000</v>
      </c>
      <c r="F24" s="131">
        <f t="shared" si="1"/>
        <v>3852364</v>
      </c>
    </row>
    <row r="25" spans="1:8" ht="38.25">
      <c r="A25" s="59" t="s">
        <v>6</v>
      </c>
      <c r="B25" s="286" t="s">
        <v>217</v>
      </c>
      <c r="C25" s="58" t="s">
        <v>2</v>
      </c>
      <c r="D25" s="287">
        <v>13.795999999999999</v>
      </c>
      <c r="E25" s="69">
        <v>390000</v>
      </c>
      <c r="F25" s="338">
        <f t="shared" si="1"/>
        <v>5380440</v>
      </c>
    </row>
    <row r="26" spans="1:8" ht="27" customHeight="1">
      <c r="A26" s="86" t="s">
        <v>17</v>
      </c>
      <c r="B26" s="15" t="s">
        <v>218</v>
      </c>
      <c r="C26" s="17" t="s">
        <v>18</v>
      </c>
      <c r="D26" s="29">
        <f>D25*70</f>
        <v>965.71999999999991</v>
      </c>
      <c r="E26" s="47">
        <v>5500</v>
      </c>
      <c r="F26" s="338">
        <f t="shared" si="1"/>
        <v>5311459.9999999991</v>
      </c>
    </row>
    <row r="27" spans="1:8" ht="18" customHeight="1">
      <c r="A27" s="86" t="s">
        <v>19</v>
      </c>
      <c r="B27" s="284" t="s">
        <v>219</v>
      </c>
      <c r="C27" s="84" t="s">
        <v>1</v>
      </c>
      <c r="D27" s="122">
        <v>0</v>
      </c>
      <c r="E27" s="131">
        <v>11500</v>
      </c>
      <c r="F27" s="281">
        <f t="shared" si="1"/>
        <v>0</v>
      </c>
    </row>
    <row r="28" spans="1:8" ht="38.25">
      <c r="A28" s="59" t="s">
        <v>65</v>
      </c>
      <c r="B28" s="12" t="s">
        <v>220</v>
      </c>
      <c r="C28" s="19" t="s">
        <v>2</v>
      </c>
      <c r="D28" s="41">
        <v>35.466999999999999</v>
      </c>
      <c r="E28" s="44">
        <v>175000</v>
      </c>
      <c r="F28" s="338">
        <f t="shared" si="1"/>
        <v>6206725</v>
      </c>
      <c r="G28" s="256"/>
      <c r="H28" s="256"/>
    </row>
    <row r="29" spans="1:8" ht="24" customHeight="1">
      <c r="A29" s="786" t="s">
        <v>166</v>
      </c>
      <c r="B29" s="787"/>
      <c r="C29" s="787"/>
      <c r="D29" s="787"/>
      <c r="E29" s="788"/>
      <c r="F29" s="117">
        <f>SUM(F22:F28)</f>
        <v>23124731.5</v>
      </c>
      <c r="G29" s="256"/>
    </row>
    <row r="30" spans="1:8" ht="12" customHeight="1">
      <c r="A30" s="177"/>
      <c r="B30" s="178"/>
      <c r="C30" s="179"/>
      <c r="D30" s="288"/>
      <c r="E30" s="180"/>
      <c r="F30" s="180"/>
    </row>
    <row r="31" spans="1:8" ht="15" customHeight="1">
      <c r="A31" s="785" t="s">
        <v>180</v>
      </c>
      <c r="B31" s="785"/>
      <c r="C31" s="785"/>
      <c r="D31" s="785"/>
      <c r="E31" s="54"/>
      <c r="F31" s="57"/>
    </row>
    <row r="32" spans="1:8" ht="12" customHeight="1">
      <c r="A32" s="34"/>
      <c r="B32" s="5"/>
      <c r="C32" s="4"/>
      <c r="D32" s="48"/>
      <c r="E32" s="54"/>
      <c r="F32" s="57"/>
      <c r="G32" s="35"/>
    </row>
    <row r="33" spans="1:6" s="3" customFormat="1" ht="18" customHeight="1">
      <c r="A33" s="20" t="s">
        <v>30</v>
      </c>
      <c r="B33" s="20" t="s">
        <v>31</v>
      </c>
      <c r="C33" s="20" t="s">
        <v>12</v>
      </c>
      <c r="D33" s="20" t="s">
        <v>32</v>
      </c>
      <c r="E33" s="37" t="s">
        <v>40</v>
      </c>
      <c r="F33" s="37" t="s">
        <v>33</v>
      </c>
    </row>
    <row r="34" spans="1:6" ht="38.25">
      <c r="A34" s="59" t="s">
        <v>7</v>
      </c>
      <c r="B34" s="286" t="s">
        <v>372</v>
      </c>
      <c r="C34" s="58" t="s">
        <v>2</v>
      </c>
      <c r="D34" s="287">
        <v>50.872</v>
      </c>
      <c r="E34" s="69">
        <f>+E25</f>
        <v>390000</v>
      </c>
      <c r="F34" s="69">
        <f t="shared" ref="F34:F38" si="2">+D34*E34</f>
        <v>19840080</v>
      </c>
    </row>
    <row r="35" spans="1:6" ht="26.25" customHeight="1">
      <c r="A35" s="59" t="s">
        <v>121</v>
      </c>
      <c r="B35" s="15" t="s">
        <v>218</v>
      </c>
      <c r="C35" s="17" t="s">
        <v>18</v>
      </c>
      <c r="D35" s="29">
        <v>3722.04</v>
      </c>
      <c r="E35" s="47">
        <f>+E26</f>
        <v>5500</v>
      </c>
      <c r="F35" s="69">
        <f t="shared" si="2"/>
        <v>20471220</v>
      </c>
    </row>
    <row r="36" spans="1:6" ht="18" customHeight="1">
      <c r="A36" s="59" t="s">
        <v>122</v>
      </c>
      <c r="B36" s="284" t="s">
        <v>219</v>
      </c>
      <c r="C36" s="84" t="s">
        <v>1</v>
      </c>
      <c r="D36" s="122">
        <v>402.55</v>
      </c>
      <c r="E36" s="131">
        <f>+E27</f>
        <v>11500</v>
      </c>
      <c r="F36" s="69">
        <f t="shared" si="2"/>
        <v>4629325</v>
      </c>
    </row>
    <row r="37" spans="1:6" ht="25.5">
      <c r="A37" s="59" t="s">
        <v>123</v>
      </c>
      <c r="B37" s="286" t="s">
        <v>222</v>
      </c>
      <c r="C37" s="58" t="s">
        <v>1</v>
      </c>
      <c r="D37" s="119">
        <v>643.04999999999995</v>
      </c>
      <c r="E37" s="69">
        <v>18650</v>
      </c>
      <c r="F37" s="69">
        <f t="shared" si="2"/>
        <v>11992882.5</v>
      </c>
    </row>
    <row r="38" spans="1:6" ht="25.5">
      <c r="A38" s="59" t="s">
        <v>124</v>
      </c>
      <c r="B38" s="286" t="s">
        <v>221</v>
      </c>
      <c r="C38" s="58" t="s">
        <v>1</v>
      </c>
      <c r="D38" s="119">
        <v>20.28</v>
      </c>
      <c r="E38" s="40">
        <v>18000</v>
      </c>
      <c r="F38" s="69">
        <f t="shared" si="2"/>
        <v>365040</v>
      </c>
    </row>
    <row r="39" spans="1:6" s="132" customFormat="1" ht="18" customHeight="1">
      <c r="A39" s="86" t="s">
        <v>168</v>
      </c>
      <c r="B39" s="285" t="s">
        <v>225</v>
      </c>
      <c r="C39" s="58" t="s">
        <v>1</v>
      </c>
      <c r="D39" s="119">
        <v>2</v>
      </c>
      <c r="E39" s="131">
        <v>274500</v>
      </c>
      <c r="F39" s="131">
        <f t="shared" ref="F39:F40" si="3">+D39*E39</f>
        <v>549000</v>
      </c>
    </row>
    <row r="40" spans="1:6" s="132" customFormat="1" ht="18" customHeight="1">
      <c r="A40" s="86" t="s">
        <v>169</v>
      </c>
      <c r="B40" s="285" t="s">
        <v>223</v>
      </c>
      <c r="C40" s="58" t="s">
        <v>1</v>
      </c>
      <c r="D40" s="119"/>
      <c r="E40" s="131"/>
      <c r="F40" s="131">
        <f t="shared" si="3"/>
        <v>0</v>
      </c>
    </row>
    <row r="41" spans="1:6" ht="24" customHeight="1">
      <c r="A41" s="786" t="s">
        <v>167</v>
      </c>
      <c r="B41" s="787"/>
      <c r="C41" s="787"/>
      <c r="D41" s="787"/>
      <c r="E41" s="788"/>
      <c r="F41" s="117">
        <f>SUM(F34:F40)</f>
        <v>57847547.5</v>
      </c>
    </row>
    <row r="42" spans="1:6" ht="15" customHeight="1">
      <c r="A42" s="772" t="s">
        <v>170</v>
      </c>
      <c r="B42" s="772"/>
      <c r="C42" s="2"/>
    </row>
    <row r="43" spans="1:6" ht="12" customHeight="1"/>
    <row r="44" spans="1:6" s="3" customFormat="1" ht="18" customHeight="1">
      <c r="A44" s="20" t="s">
        <v>30</v>
      </c>
      <c r="B44" s="20" t="s">
        <v>31</v>
      </c>
      <c r="C44" s="20" t="s">
        <v>12</v>
      </c>
      <c r="D44" s="20" t="s">
        <v>32</v>
      </c>
      <c r="E44" s="37" t="s">
        <v>40</v>
      </c>
      <c r="F44" s="37" t="s">
        <v>33</v>
      </c>
    </row>
    <row r="45" spans="1:6" s="3" customFormat="1" ht="38.25" customHeight="1">
      <c r="A45" s="59" t="s">
        <v>9</v>
      </c>
      <c r="B45" s="289" t="s">
        <v>334</v>
      </c>
      <c r="C45" s="84" t="s">
        <v>1</v>
      </c>
      <c r="D45" s="119">
        <v>1490.62</v>
      </c>
      <c r="E45" s="128">
        <v>5700</v>
      </c>
      <c r="F45" s="128">
        <f>+D45*E45</f>
        <v>8496534</v>
      </c>
    </row>
    <row r="46" spans="1:6" s="3" customFormat="1" ht="27" customHeight="1">
      <c r="A46" s="59" t="s">
        <v>66</v>
      </c>
      <c r="B46" s="289" t="s">
        <v>335</v>
      </c>
      <c r="C46" s="84" t="s">
        <v>1</v>
      </c>
      <c r="D46" s="119">
        <v>44.95</v>
      </c>
      <c r="E46" s="128">
        <v>7800</v>
      </c>
      <c r="F46" s="128">
        <f>+D46*E46</f>
        <v>350610</v>
      </c>
    </row>
    <row r="47" spans="1:6" ht="24" customHeight="1">
      <c r="A47" s="786" t="s">
        <v>93</v>
      </c>
      <c r="B47" s="787"/>
      <c r="C47" s="787"/>
      <c r="D47" s="787"/>
      <c r="E47" s="788"/>
      <c r="F47" s="117">
        <f>SUM(F45:F46)</f>
        <v>8847144</v>
      </c>
    </row>
    <row r="48" spans="1:6" ht="12" customHeight="1">
      <c r="A48" s="34"/>
      <c r="B48" s="5"/>
      <c r="C48" s="4"/>
      <c r="D48" s="259"/>
      <c r="E48" s="83"/>
      <c r="F48" s="83"/>
    </row>
    <row r="49" spans="1:6" ht="15" customHeight="1">
      <c r="A49" s="772" t="s">
        <v>226</v>
      </c>
      <c r="B49" s="772"/>
      <c r="C49" s="2"/>
    </row>
    <row r="50" spans="1:6" ht="12" customHeight="1"/>
    <row r="51" spans="1:6" s="3" customFormat="1" ht="18" customHeight="1">
      <c r="A51" s="20" t="s">
        <v>30</v>
      </c>
      <c r="B51" s="20" t="s">
        <v>31</v>
      </c>
      <c r="C51" s="20" t="s">
        <v>12</v>
      </c>
      <c r="D51" s="20" t="s">
        <v>32</v>
      </c>
      <c r="E51" s="37" t="s">
        <v>40</v>
      </c>
      <c r="F51" s="37" t="s">
        <v>33</v>
      </c>
    </row>
    <row r="52" spans="1:6" s="3" customFormat="1" ht="27" customHeight="1">
      <c r="A52" s="59" t="s">
        <v>73</v>
      </c>
      <c r="B52" s="289" t="s">
        <v>228</v>
      </c>
      <c r="C52" s="84" t="s">
        <v>1</v>
      </c>
      <c r="D52" s="119">
        <v>50.46</v>
      </c>
      <c r="E52" s="128">
        <v>38000</v>
      </c>
      <c r="F52" s="128">
        <f>D52*E52</f>
        <v>1917480</v>
      </c>
    </row>
    <row r="53" spans="1:6" s="3" customFormat="1" ht="27" customHeight="1">
      <c r="A53" s="59" t="s">
        <v>74</v>
      </c>
      <c r="B53" s="289" t="s">
        <v>360</v>
      </c>
      <c r="C53" s="84" t="s">
        <v>1</v>
      </c>
      <c r="D53" s="119">
        <v>330.16</v>
      </c>
      <c r="E53" s="69">
        <v>43000</v>
      </c>
      <c r="F53" s="128">
        <f t="shared" ref="F53" si="4">D53*E53</f>
        <v>14196880.000000002</v>
      </c>
    </row>
    <row r="54" spans="1:6" s="3" customFormat="1" ht="27" customHeight="1">
      <c r="A54" s="59" t="s">
        <v>75</v>
      </c>
      <c r="B54" s="285" t="s">
        <v>227</v>
      </c>
      <c r="C54" s="84" t="s">
        <v>1</v>
      </c>
      <c r="D54" s="119">
        <v>146.6</v>
      </c>
      <c r="E54" s="128">
        <v>4000</v>
      </c>
      <c r="F54" s="128">
        <f t="shared" ref="F54" si="5">D54*E54</f>
        <v>586400</v>
      </c>
    </row>
    <row r="55" spans="1:6" s="3" customFormat="1" ht="27" customHeight="1">
      <c r="A55" s="59"/>
      <c r="B55" s="285"/>
      <c r="C55" s="84"/>
      <c r="D55" s="119"/>
      <c r="E55" s="128"/>
      <c r="F55" s="128"/>
    </row>
    <row r="56" spans="1:6" ht="24" customHeight="1">
      <c r="A56" s="786" t="s">
        <v>93</v>
      </c>
      <c r="B56" s="787"/>
      <c r="C56" s="787"/>
      <c r="D56" s="787"/>
      <c r="E56" s="788"/>
      <c r="F56" s="117">
        <f>SUM(F52:F55)</f>
        <v>16700760.000000002</v>
      </c>
    </row>
    <row r="57" spans="1:6" ht="12" customHeight="1">
      <c r="A57" s="34"/>
      <c r="B57" s="5"/>
      <c r="C57" s="4"/>
      <c r="D57" s="259"/>
      <c r="E57" s="83"/>
      <c r="F57" s="83"/>
    </row>
    <row r="58" spans="1:6" ht="15" customHeight="1">
      <c r="A58" s="772" t="s">
        <v>241</v>
      </c>
      <c r="B58" s="772"/>
      <c r="C58" s="4"/>
      <c r="D58" s="259"/>
      <c r="E58" s="83"/>
      <c r="F58" s="83"/>
    </row>
    <row r="59" spans="1:6" ht="12" customHeight="1">
      <c r="A59" s="34"/>
      <c r="B59" s="5"/>
      <c r="C59" s="4"/>
      <c r="D59" s="259"/>
      <c r="E59" s="83"/>
      <c r="F59" s="83"/>
    </row>
    <row r="60" spans="1:6" s="3" customFormat="1" ht="18" customHeight="1">
      <c r="A60" s="20" t="s">
        <v>30</v>
      </c>
      <c r="B60" s="20" t="s">
        <v>31</v>
      </c>
      <c r="C60" s="20" t="s">
        <v>12</v>
      </c>
      <c r="D60" s="20" t="s">
        <v>32</v>
      </c>
      <c r="E60" s="37" t="s">
        <v>40</v>
      </c>
      <c r="F60" s="37" t="s">
        <v>33</v>
      </c>
    </row>
    <row r="61" spans="1:6" ht="25.5">
      <c r="A61" s="59" t="s">
        <v>11</v>
      </c>
      <c r="B61" s="289" t="s">
        <v>230</v>
      </c>
      <c r="C61" s="78" t="s">
        <v>2</v>
      </c>
      <c r="D61" s="26">
        <v>4.6340000000000003</v>
      </c>
      <c r="E61" s="40">
        <v>1500000</v>
      </c>
      <c r="F61" s="69">
        <f>+D61*E61</f>
        <v>6951000.0000000009</v>
      </c>
    </row>
    <row r="62" spans="1:6" ht="27" customHeight="1">
      <c r="A62" s="59" t="s">
        <v>13</v>
      </c>
      <c r="B62" s="289" t="s">
        <v>365</v>
      </c>
      <c r="C62" s="78" t="s">
        <v>1</v>
      </c>
      <c r="D62" s="121">
        <v>160.36000000000001</v>
      </c>
      <c r="E62" s="233">
        <v>18500</v>
      </c>
      <c r="F62" s="69">
        <f t="shared" ref="F62:F66" si="6">+D62*E62</f>
        <v>2966660.0000000005</v>
      </c>
    </row>
    <row r="63" spans="1:6" ht="25.5">
      <c r="A63" s="59" t="s">
        <v>81</v>
      </c>
      <c r="B63" s="289" t="s">
        <v>231</v>
      </c>
      <c r="C63" s="78" t="s">
        <v>10</v>
      </c>
      <c r="D63" s="121">
        <v>18.28</v>
      </c>
      <c r="E63" s="38">
        <v>9600</v>
      </c>
      <c r="F63" s="69">
        <f t="shared" si="6"/>
        <v>175488</v>
      </c>
    </row>
    <row r="64" spans="1:6" ht="25.5" customHeight="1">
      <c r="A64" s="59" t="s">
        <v>69</v>
      </c>
      <c r="B64" s="289" t="s">
        <v>233</v>
      </c>
      <c r="C64" s="78" t="s">
        <v>1</v>
      </c>
      <c r="D64" s="121">
        <v>136.69</v>
      </c>
      <c r="E64" s="38">
        <v>22500</v>
      </c>
      <c r="F64" s="69">
        <f t="shared" si="6"/>
        <v>3075525</v>
      </c>
    </row>
    <row r="65" spans="1:7" s="132" customFormat="1" ht="18" customHeight="1">
      <c r="A65" s="86" t="s">
        <v>70</v>
      </c>
      <c r="B65" s="290" t="s">
        <v>232</v>
      </c>
      <c r="C65" s="78" t="s">
        <v>10</v>
      </c>
      <c r="D65" s="121">
        <v>175.84</v>
      </c>
      <c r="E65" s="118">
        <v>1500</v>
      </c>
      <c r="F65" s="131">
        <f t="shared" si="6"/>
        <v>263760</v>
      </c>
    </row>
    <row r="66" spans="1:7" s="132" customFormat="1" ht="18" customHeight="1">
      <c r="A66" s="86" t="s">
        <v>171</v>
      </c>
      <c r="B66" s="291" t="s">
        <v>76</v>
      </c>
      <c r="C66" s="91" t="s">
        <v>10</v>
      </c>
      <c r="D66" s="122">
        <v>36</v>
      </c>
      <c r="E66" s="131">
        <v>18500</v>
      </c>
      <c r="F66" s="131">
        <f t="shared" si="6"/>
        <v>666000</v>
      </c>
    </row>
    <row r="67" spans="1:7" ht="24" customHeight="1">
      <c r="A67" s="786" t="s">
        <v>234</v>
      </c>
      <c r="B67" s="787"/>
      <c r="C67" s="787"/>
      <c r="D67" s="787"/>
      <c r="E67" s="788"/>
      <c r="F67" s="117">
        <f>SUM(F61:F66)</f>
        <v>14098433.000000002</v>
      </c>
    </row>
    <row r="68" spans="1:7" ht="12" customHeight="1">
      <c r="A68" s="34"/>
      <c r="B68" s="5"/>
      <c r="C68" s="4"/>
      <c r="D68" s="48"/>
      <c r="E68" s="83"/>
      <c r="F68" s="83"/>
    </row>
    <row r="69" spans="1:7" ht="15" customHeight="1">
      <c r="A69" s="772" t="s">
        <v>242</v>
      </c>
      <c r="B69" s="772"/>
      <c r="C69" s="4"/>
      <c r="D69" s="259"/>
      <c r="E69" s="83"/>
      <c r="F69" s="83"/>
    </row>
    <row r="70" spans="1:7" ht="12" customHeight="1">
      <c r="A70" s="297"/>
      <c r="B70" s="297"/>
      <c r="C70" s="4"/>
      <c r="D70" s="259"/>
      <c r="E70" s="83"/>
      <c r="F70" s="83"/>
    </row>
    <row r="71" spans="1:7" s="3" customFormat="1" ht="18" customHeight="1">
      <c r="A71" s="20" t="s">
        <v>30</v>
      </c>
      <c r="B71" s="20" t="s">
        <v>31</v>
      </c>
      <c r="C71" s="20" t="s">
        <v>12</v>
      </c>
      <c r="D71" s="20" t="s">
        <v>32</v>
      </c>
      <c r="E71" s="37" t="s">
        <v>40</v>
      </c>
      <c r="F71" s="37" t="s">
        <v>33</v>
      </c>
    </row>
    <row r="72" spans="1:7" ht="27" customHeight="1">
      <c r="A72" s="72" t="s">
        <v>14</v>
      </c>
      <c r="B72" s="289" t="s">
        <v>350</v>
      </c>
      <c r="C72" s="78" t="s">
        <v>12</v>
      </c>
      <c r="D72" s="100">
        <v>1</v>
      </c>
      <c r="E72" s="281">
        <v>431000</v>
      </c>
      <c r="F72" s="69">
        <f t="shared" ref="F72" si="7">+D72*E72</f>
        <v>431000</v>
      </c>
      <c r="G72" s="304"/>
    </row>
    <row r="73" spans="1:7" ht="27" customHeight="1">
      <c r="A73" s="72" t="s">
        <v>15</v>
      </c>
      <c r="B73" s="289" t="s">
        <v>370</v>
      </c>
      <c r="C73" s="78" t="s">
        <v>12</v>
      </c>
      <c r="D73" s="100">
        <v>2</v>
      </c>
      <c r="E73" s="281">
        <v>369000</v>
      </c>
      <c r="F73" s="69">
        <f t="shared" ref="F73" si="8">+D73*E73</f>
        <v>738000</v>
      </c>
      <c r="G73" s="304"/>
    </row>
    <row r="74" spans="1:7" ht="27" customHeight="1">
      <c r="A74" s="72" t="s">
        <v>15</v>
      </c>
      <c r="B74" s="289" t="s">
        <v>351</v>
      </c>
      <c r="C74" s="78" t="s">
        <v>12</v>
      </c>
      <c r="D74" s="100">
        <v>4</v>
      </c>
      <c r="E74" s="281">
        <v>277000</v>
      </c>
      <c r="F74" s="69">
        <f t="shared" ref="F74" si="9">+D74*E74</f>
        <v>1108000</v>
      </c>
      <c r="G74" s="304"/>
    </row>
    <row r="75" spans="1:7" ht="27" customHeight="1">
      <c r="A75" s="72" t="s">
        <v>20</v>
      </c>
      <c r="B75" s="289" t="s">
        <v>352</v>
      </c>
      <c r="C75" s="78" t="s">
        <v>12</v>
      </c>
      <c r="D75" s="100">
        <v>17</v>
      </c>
      <c r="E75" s="281">
        <v>277000</v>
      </c>
      <c r="F75" s="69">
        <f t="shared" ref="F75" si="10">+D75*E75</f>
        <v>4709000</v>
      </c>
      <c r="G75" s="304"/>
    </row>
    <row r="76" spans="1:7" ht="27" customHeight="1">
      <c r="A76" s="72" t="s">
        <v>71</v>
      </c>
      <c r="B76" s="289" t="s">
        <v>353</v>
      </c>
      <c r="C76" s="78" t="s">
        <v>12</v>
      </c>
      <c r="D76" s="100">
        <v>2</v>
      </c>
      <c r="E76" s="281">
        <v>246000</v>
      </c>
      <c r="F76" s="69">
        <f t="shared" ref="F76" si="11">+D76*E76</f>
        <v>492000</v>
      </c>
      <c r="G76" s="304"/>
    </row>
    <row r="77" spans="1:7" ht="27" customHeight="1">
      <c r="A77" s="72" t="s">
        <v>72</v>
      </c>
      <c r="B77" s="289" t="s">
        <v>354</v>
      </c>
      <c r="C77" s="78" t="s">
        <v>12</v>
      </c>
      <c r="D77" s="100">
        <v>6</v>
      </c>
      <c r="E77" s="281">
        <v>234000</v>
      </c>
      <c r="F77" s="69">
        <f t="shared" ref="F77" si="12">+D77*E77</f>
        <v>1404000</v>
      </c>
      <c r="G77" s="304"/>
    </row>
    <row r="78" spans="1:7" ht="27" customHeight="1">
      <c r="A78" s="72" t="s">
        <v>91</v>
      </c>
      <c r="B78" s="289" t="s">
        <v>355</v>
      </c>
      <c r="C78" s="78" t="s">
        <v>12</v>
      </c>
      <c r="D78" s="100">
        <v>21</v>
      </c>
      <c r="E78" s="281">
        <v>220000</v>
      </c>
      <c r="F78" s="69">
        <f t="shared" ref="F78:F82" si="13">+D78*E78</f>
        <v>4620000</v>
      </c>
      <c r="G78" s="304"/>
    </row>
    <row r="79" spans="1:7" ht="27" customHeight="1">
      <c r="A79" s="72" t="s">
        <v>243</v>
      </c>
      <c r="B79" s="289" t="s">
        <v>356</v>
      </c>
      <c r="C79" s="78" t="s">
        <v>12</v>
      </c>
      <c r="D79" s="100">
        <v>4</v>
      </c>
      <c r="E79" s="281">
        <v>165000</v>
      </c>
      <c r="F79" s="69">
        <f t="shared" ref="F79" si="14">+D79*E79</f>
        <v>660000</v>
      </c>
      <c r="G79" s="304"/>
    </row>
    <row r="80" spans="1:7" ht="27" customHeight="1">
      <c r="A80" s="72" t="s">
        <v>244</v>
      </c>
      <c r="B80" s="289" t="s">
        <v>357</v>
      </c>
      <c r="C80" s="78" t="s">
        <v>12</v>
      </c>
      <c r="D80" s="100">
        <v>2</v>
      </c>
      <c r="E80" s="281">
        <v>125000</v>
      </c>
      <c r="F80" s="69">
        <f t="shared" si="13"/>
        <v>250000</v>
      </c>
      <c r="G80" s="304"/>
    </row>
    <row r="81" spans="1:9" ht="27" customHeight="1">
      <c r="A81" s="72" t="s">
        <v>305</v>
      </c>
      <c r="B81" s="289" t="s">
        <v>358</v>
      </c>
      <c r="C81" s="78" t="s">
        <v>12</v>
      </c>
      <c r="D81" s="100">
        <v>2</v>
      </c>
      <c r="E81" s="281">
        <v>60000</v>
      </c>
      <c r="F81" s="69">
        <f t="shared" si="13"/>
        <v>120000</v>
      </c>
      <c r="G81" s="304"/>
    </row>
    <row r="82" spans="1:9" ht="26.25" customHeight="1">
      <c r="A82" s="72" t="s">
        <v>309</v>
      </c>
      <c r="B82" s="289" t="s">
        <v>359</v>
      </c>
      <c r="C82" s="78" t="s">
        <v>12</v>
      </c>
      <c r="D82" s="100">
        <v>2</v>
      </c>
      <c r="E82" s="281">
        <v>37500</v>
      </c>
      <c r="F82" s="69">
        <f t="shared" si="13"/>
        <v>75000</v>
      </c>
      <c r="G82" s="304"/>
    </row>
    <row r="83" spans="1:9" ht="24" customHeight="1">
      <c r="A83" s="786" t="s">
        <v>95</v>
      </c>
      <c r="B83" s="787"/>
      <c r="C83" s="787"/>
      <c r="D83" s="787"/>
      <c r="E83" s="788"/>
      <c r="F83" s="117">
        <f>SUM(F72:F82)</f>
        <v>14607000</v>
      </c>
    </row>
    <row r="84" spans="1:9" ht="12" customHeight="1">
      <c r="A84" s="297"/>
      <c r="B84" s="297"/>
      <c r="C84" s="4"/>
      <c r="D84" s="259"/>
      <c r="E84" s="83"/>
      <c r="F84" s="83"/>
    </row>
    <row r="85" spans="1:9" ht="15" customHeight="1">
      <c r="A85" s="772" t="s">
        <v>245</v>
      </c>
      <c r="B85" s="772"/>
      <c r="C85" s="4"/>
      <c r="D85" s="259"/>
      <c r="E85" s="83"/>
      <c r="F85" s="83"/>
    </row>
    <row r="86" spans="1:9" ht="12" customHeight="1">
      <c r="A86" s="297"/>
      <c r="B86" s="297"/>
      <c r="C86" s="4"/>
      <c r="D86" s="259"/>
      <c r="E86" s="83"/>
      <c r="F86" s="83"/>
    </row>
    <row r="87" spans="1:9" s="3" customFormat="1" ht="18" customHeight="1">
      <c r="A87" s="20" t="s">
        <v>30</v>
      </c>
      <c r="B87" s="20" t="s">
        <v>31</v>
      </c>
      <c r="C87" s="20" t="s">
        <v>12</v>
      </c>
      <c r="D87" s="20" t="s">
        <v>32</v>
      </c>
      <c r="E87" s="37" t="s">
        <v>40</v>
      </c>
      <c r="F87" s="37" t="s">
        <v>33</v>
      </c>
    </row>
    <row r="88" spans="1:9" ht="27" customHeight="1">
      <c r="A88" s="72" t="s">
        <v>21</v>
      </c>
      <c r="B88" s="289" t="s">
        <v>236</v>
      </c>
      <c r="C88" s="78" t="s">
        <v>1</v>
      </c>
      <c r="D88" s="100">
        <v>22.88</v>
      </c>
      <c r="E88" s="281">
        <v>160000</v>
      </c>
      <c r="F88" s="69">
        <f>+D88*E88</f>
        <v>3660800</v>
      </c>
    </row>
    <row r="89" spans="1:9" ht="27" customHeight="1">
      <c r="A89" s="72" t="s">
        <v>22</v>
      </c>
      <c r="B89" s="289" t="s">
        <v>237</v>
      </c>
      <c r="C89" s="78" t="s">
        <v>1</v>
      </c>
      <c r="D89" s="100">
        <v>42.2</v>
      </c>
      <c r="E89" s="281">
        <v>160000</v>
      </c>
      <c r="F89" s="69">
        <f t="shared" ref="F89" si="15">+D89*E89</f>
        <v>6752000</v>
      </c>
      <c r="G89" s="292"/>
    </row>
    <row r="90" spans="1:9" ht="27" customHeight="1">
      <c r="A90" s="72" t="s">
        <v>22</v>
      </c>
      <c r="B90" s="289" t="s">
        <v>307</v>
      </c>
      <c r="C90" s="78" t="s">
        <v>1</v>
      </c>
      <c r="D90" s="100">
        <v>3.08</v>
      </c>
      <c r="E90" s="281">
        <v>160000</v>
      </c>
      <c r="F90" s="69">
        <f t="shared" ref="F90" si="16">+D90*E90</f>
        <v>492800</v>
      </c>
      <c r="G90" s="292"/>
    </row>
    <row r="91" spans="1:9" ht="27" customHeight="1">
      <c r="A91" s="72" t="s">
        <v>205</v>
      </c>
      <c r="B91" s="289" t="s">
        <v>238</v>
      </c>
      <c r="C91" s="78" t="s">
        <v>1</v>
      </c>
      <c r="D91" s="100">
        <v>2.42</v>
      </c>
      <c r="E91" s="281">
        <v>160000</v>
      </c>
      <c r="F91" s="69">
        <f t="shared" ref="F91:F92" si="17">+D91*E91</f>
        <v>387200</v>
      </c>
      <c r="G91" s="292"/>
    </row>
    <row r="92" spans="1:9" ht="27" customHeight="1">
      <c r="A92" s="72" t="s">
        <v>206</v>
      </c>
      <c r="B92" s="289" t="s">
        <v>239</v>
      </c>
      <c r="C92" s="78" t="s">
        <v>1</v>
      </c>
      <c r="D92" s="100">
        <v>1.43</v>
      </c>
      <c r="E92" s="281">
        <v>160000</v>
      </c>
      <c r="F92" s="69">
        <f t="shared" si="17"/>
        <v>228800</v>
      </c>
      <c r="G92" s="292"/>
    </row>
    <row r="93" spans="1:9" ht="27" customHeight="1">
      <c r="A93" s="72" t="s">
        <v>306</v>
      </c>
      <c r="B93" s="289" t="s">
        <v>240</v>
      </c>
      <c r="C93" s="78" t="s">
        <v>1</v>
      </c>
      <c r="D93" s="100">
        <v>0.98</v>
      </c>
      <c r="E93" s="281">
        <v>160000</v>
      </c>
      <c r="F93" s="69">
        <f t="shared" ref="F93:F95" si="18">+D93*E93</f>
        <v>156800</v>
      </c>
      <c r="G93" s="292"/>
    </row>
    <row r="94" spans="1:9" ht="27" customHeight="1">
      <c r="A94" s="72" t="s">
        <v>405</v>
      </c>
      <c r="B94" s="351" t="s">
        <v>403</v>
      </c>
      <c r="C94" s="78" t="s">
        <v>1</v>
      </c>
      <c r="D94" s="100">
        <v>2.46</v>
      </c>
      <c r="E94" s="281">
        <v>160000</v>
      </c>
      <c r="F94" s="338">
        <f t="shared" si="18"/>
        <v>393600</v>
      </c>
      <c r="G94" s="292"/>
      <c r="I94" s="6"/>
    </row>
    <row r="95" spans="1:9" ht="27" customHeight="1">
      <c r="A95" s="72" t="s">
        <v>406</v>
      </c>
      <c r="B95" s="351" t="s">
        <v>404</v>
      </c>
      <c r="C95" s="78" t="s">
        <v>1</v>
      </c>
      <c r="D95" s="100">
        <v>3.69</v>
      </c>
      <c r="E95" s="281">
        <v>160000</v>
      </c>
      <c r="F95" s="338">
        <f t="shared" si="18"/>
        <v>590400</v>
      </c>
      <c r="G95" s="292"/>
      <c r="I95" s="6"/>
    </row>
    <row r="96" spans="1:9" ht="24" customHeight="1">
      <c r="A96" s="786" t="s">
        <v>235</v>
      </c>
      <c r="B96" s="787"/>
      <c r="C96" s="787"/>
      <c r="D96" s="787"/>
      <c r="E96" s="788"/>
      <c r="F96" s="117">
        <f>SUM(F88:F95)</f>
        <v>12662400</v>
      </c>
    </row>
    <row r="97" spans="1:7" ht="12" customHeight="1">
      <c r="A97" s="297"/>
      <c r="B97" s="297"/>
      <c r="C97" s="4"/>
      <c r="D97" s="259"/>
      <c r="E97" s="83"/>
      <c r="F97" s="83"/>
    </row>
    <row r="98" spans="1:7" ht="15" customHeight="1">
      <c r="A98" s="772" t="s">
        <v>248</v>
      </c>
      <c r="B98" s="772"/>
      <c r="C98" s="4"/>
      <c r="D98" s="259"/>
      <c r="E98" s="83"/>
      <c r="F98" s="83"/>
    </row>
    <row r="99" spans="1:7" ht="12" customHeight="1">
      <c r="A99" s="297"/>
      <c r="B99" s="297"/>
      <c r="C99" s="4"/>
      <c r="D99" s="259"/>
      <c r="E99" s="83"/>
      <c r="F99" s="83"/>
    </row>
    <row r="100" spans="1:7" s="3" customFormat="1" ht="18" customHeight="1">
      <c r="A100" s="20" t="s">
        <v>30</v>
      </c>
      <c r="B100" s="20" t="s">
        <v>31</v>
      </c>
      <c r="C100" s="20" t="s">
        <v>12</v>
      </c>
      <c r="D100" s="20" t="s">
        <v>32</v>
      </c>
      <c r="E100" s="37" t="s">
        <v>40</v>
      </c>
      <c r="F100" s="37" t="s">
        <v>33</v>
      </c>
    </row>
    <row r="101" spans="1:7" s="3" customFormat="1" ht="18" customHeight="1">
      <c r="A101" s="77" t="s">
        <v>173</v>
      </c>
      <c r="B101" s="293" t="s">
        <v>191</v>
      </c>
      <c r="C101" s="16" t="s">
        <v>1</v>
      </c>
      <c r="D101" s="16">
        <v>1345.18</v>
      </c>
      <c r="E101" s="306">
        <v>1000</v>
      </c>
      <c r="F101" s="199">
        <f>D101*E101</f>
        <v>1345180</v>
      </c>
    </row>
    <row r="102" spans="1:7" s="3" customFormat="1" ht="27" customHeight="1">
      <c r="A102" s="72" t="s">
        <v>174</v>
      </c>
      <c r="B102" s="294" t="s">
        <v>246</v>
      </c>
      <c r="C102" s="16" t="s">
        <v>1</v>
      </c>
      <c r="D102" s="16">
        <v>361.43</v>
      </c>
      <c r="E102" s="306">
        <v>4000</v>
      </c>
      <c r="F102" s="199">
        <f t="shared" ref="F102:F104" si="19">D102*E102</f>
        <v>1445720</v>
      </c>
    </row>
    <row r="103" spans="1:7" s="3" customFormat="1" ht="27" customHeight="1">
      <c r="A103" s="72" t="s">
        <v>175</v>
      </c>
      <c r="B103" s="294" t="s">
        <v>247</v>
      </c>
      <c r="C103" s="16" t="s">
        <v>1</v>
      </c>
      <c r="D103" s="16">
        <v>983.75</v>
      </c>
      <c r="E103" s="306">
        <v>3000</v>
      </c>
      <c r="F103" s="199">
        <f t="shared" si="19"/>
        <v>2951250</v>
      </c>
      <c r="G103" s="257"/>
    </row>
    <row r="104" spans="1:7" ht="27" customHeight="1">
      <c r="A104" s="72" t="s">
        <v>176</v>
      </c>
      <c r="B104" s="284" t="s">
        <v>310</v>
      </c>
      <c r="C104" s="103" t="s">
        <v>1</v>
      </c>
      <c r="D104" s="120">
        <v>446.89</v>
      </c>
      <c r="E104" s="283">
        <v>6000</v>
      </c>
      <c r="F104" s="199">
        <f t="shared" si="19"/>
        <v>2681340</v>
      </c>
      <c r="G104" s="35"/>
    </row>
    <row r="105" spans="1:7" ht="27" customHeight="1">
      <c r="A105" s="72" t="s">
        <v>249</v>
      </c>
      <c r="B105" s="289" t="s">
        <v>117</v>
      </c>
      <c r="C105" s="84" t="s">
        <v>1</v>
      </c>
      <c r="D105" s="119">
        <v>37.33</v>
      </c>
      <c r="E105" s="281">
        <v>32000</v>
      </c>
      <c r="F105" s="199">
        <f t="shared" ref="F105" si="20">D105*E105</f>
        <v>1194560</v>
      </c>
    </row>
    <row r="106" spans="1:7" ht="24" customHeight="1">
      <c r="A106" s="786" t="s">
        <v>94</v>
      </c>
      <c r="B106" s="787"/>
      <c r="C106" s="787"/>
      <c r="D106" s="787"/>
      <c r="E106" s="788"/>
      <c r="F106" s="117">
        <f>SUM(F101:F105)</f>
        <v>9618050</v>
      </c>
    </row>
    <row r="107" spans="1:7" ht="12" customHeight="1"/>
    <row r="108" spans="1:7" ht="15" customHeight="1">
      <c r="A108" s="772" t="s">
        <v>250</v>
      </c>
      <c r="B108" s="772"/>
      <c r="C108" s="4"/>
      <c r="D108" s="259"/>
      <c r="E108" s="83"/>
      <c r="F108" s="83"/>
    </row>
    <row r="109" spans="1:7" ht="12" customHeight="1">
      <c r="A109" s="297"/>
      <c r="B109" s="297"/>
      <c r="C109" s="4"/>
      <c r="D109" s="259"/>
      <c r="E109" s="83"/>
      <c r="F109" s="83"/>
    </row>
    <row r="110" spans="1:7" s="3" customFormat="1" ht="18" customHeight="1">
      <c r="A110" s="20" t="s">
        <v>30</v>
      </c>
      <c r="B110" s="20" t="s">
        <v>31</v>
      </c>
      <c r="C110" s="20" t="s">
        <v>12</v>
      </c>
      <c r="D110" s="20" t="s">
        <v>32</v>
      </c>
      <c r="E110" s="37" t="s">
        <v>40</v>
      </c>
      <c r="F110" s="37" t="s">
        <v>33</v>
      </c>
    </row>
    <row r="111" spans="1:7" ht="27" customHeight="1">
      <c r="A111" s="72" t="s">
        <v>26</v>
      </c>
      <c r="B111" s="291" t="s">
        <v>253</v>
      </c>
      <c r="C111" s="84" t="s">
        <v>129</v>
      </c>
      <c r="D111" s="98">
        <v>1</v>
      </c>
      <c r="E111" s="38">
        <v>1500000</v>
      </c>
      <c r="F111" s="38">
        <f>+D111*E111</f>
        <v>1500000</v>
      </c>
    </row>
    <row r="112" spans="1:7" ht="27" customHeight="1">
      <c r="A112" s="72" t="s">
        <v>27</v>
      </c>
      <c r="B112" s="284" t="s">
        <v>254</v>
      </c>
      <c r="C112" s="84" t="s">
        <v>12</v>
      </c>
      <c r="D112" s="98">
        <v>4</v>
      </c>
      <c r="E112" s="233">
        <v>281000</v>
      </c>
      <c r="F112" s="38">
        <f t="shared" ref="F112:F114" si="21">+D112*E112</f>
        <v>1124000</v>
      </c>
    </row>
    <row r="113" spans="1:8" ht="27" customHeight="1">
      <c r="A113" s="72" t="s">
        <v>28</v>
      </c>
      <c r="B113" s="284" t="s">
        <v>255</v>
      </c>
      <c r="C113" s="84" t="s">
        <v>12</v>
      </c>
      <c r="D113" s="98">
        <v>2</v>
      </c>
      <c r="E113" s="233">
        <v>442500</v>
      </c>
      <c r="F113" s="38">
        <f t="shared" si="21"/>
        <v>885000</v>
      </c>
    </row>
    <row r="114" spans="1:8" ht="27" customHeight="1">
      <c r="A114" s="72" t="s">
        <v>29</v>
      </c>
      <c r="B114" s="291" t="s">
        <v>256</v>
      </c>
      <c r="C114" s="112" t="s">
        <v>12</v>
      </c>
      <c r="D114" s="98">
        <v>2</v>
      </c>
      <c r="E114" s="281">
        <v>88500</v>
      </c>
      <c r="F114" s="38">
        <f t="shared" si="21"/>
        <v>177000</v>
      </c>
    </row>
    <row r="115" spans="1:8" ht="24" customHeight="1">
      <c r="A115" s="786" t="s">
        <v>172</v>
      </c>
      <c r="B115" s="787"/>
      <c r="C115" s="787"/>
      <c r="D115" s="787"/>
      <c r="E115" s="788"/>
      <c r="F115" s="117">
        <f>SUM(F111:F114)</f>
        <v>3686000</v>
      </c>
    </row>
    <row r="116" spans="1:8" ht="12" customHeight="1"/>
    <row r="117" spans="1:8" ht="12" customHeight="1"/>
    <row r="118" spans="1:8" ht="15" customHeight="1">
      <c r="A118" s="772" t="s">
        <v>251</v>
      </c>
      <c r="B118" s="772"/>
      <c r="C118" s="4"/>
      <c r="D118" s="259"/>
      <c r="E118" s="83"/>
      <c r="F118" s="83"/>
    </row>
    <row r="119" spans="1:8" ht="12" customHeight="1">
      <c r="A119" s="297"/>
      <c r="B119" s="297"/>
      <c r="C119" s="4"/>
      <c r="D119" s="259"/>
      <c r="E119" s="83"/>
      <c r="F119" s="83"/>
    </row>
    <row r="120" spans="1:8" s="3" customFormat="1" ht="18" customHeight="1">
      <c r="A120" s="20" t="s">
        <v>30</v>
      </c>
      <c r="B120" s="20" t="s">
        <v>31</v>
      </c>
      <c r="C120" s="20" t="s">
        <v>12</v>
      </c>
      <c r="D120" s="20" t="s">
        <v>32</v>
      </c>
      <c r="E120" s="37" t="s">
        <v>40</v>
      </c>
      <c r="F120" s="37" t="s">
        <v>33</v>
      </c>
    </row>
    <row r="121" spans="1:8" ht="27" customHeight="1">
      <c r="A121" s="72" t="s">
        <v>261</v>
      </c>
      <c r="B121" s="289" t="s">
        <v>269</v>
      </c>
      <c r="C121" s="78" t="s">
        <v>10</v>
      </c>
      <c r="D121" s="120">
        <v>75</v>
      </c>
      <c r="E121" s="233">
        <v>8500</v>
      </c>
      <c r="F121" s="283">
        <f t="shared" ref="F121:F124" si="22">+D121*E121</f>
        <v>637500</v>
      </c>
    </row>
    <row r="122" spans="1:8" s="132" customFormat="1" ht="18" customHeight="1">
      <c r="A122" s="77" t="s">
        <v>262</v>
      </c>
      <c r="B122" s="289" t="s">
        <v>270</v>
      </c>
      <c r="C122" s="78" t="s">
        <v>12</v>
      </c>
      <c r="D122" s="120">
        <v>1</v>
      </c>
      <c r="E122" s="283">
        <v>1750000</v>
      </c>
      <c r="F122" s="283">
        <f t="shared" si="22"/>
        <v>1750000</v>
      </c>
      <c r="G122" s="2"/>
    </row>
    <row r="123" spans="1:8" ht="27" customHeight="1">
      <c r="A123" s="72" t="s">
        <v>263</v>
      </c>
      <c r="B123" s="289" t="s">
        <v>271</v>
      </c>
      <c r="C123" s="78" t="s">
        <v>12</v>
      </c>
      <c r="D123" s="120">
        <v>7</v>
      </c>
      <c r="E123" s="38">
        <v>224500</v>
      </c>
      <c r="F123" s="283">
        <f t="shared" si="22"/>
        <v>1571500</v>
      </c>
    </row>
    <row r="124" spans="1:8" s="132" customFormat="1" ht="18" customHeight="1">
      <c r="A124" s="77" t="s">
        <v>273</v>
      </c>
      <c r="B124" s="284" t="s">
        <v>272</v>
      </c>
      <c r="C124" s="78" t="s">
        <v>129</v>
      </c>
      <c r="D124" s="119">
        <v>1</v>
      </c>
      <c r="E124" s="282">
        <v>3475000</v>
      </c>
      <c r="F124" s="283">
        <f t="shared" si="22"/>
        <v>3475000</v>
      </c>
      <c r="G124" s="133"/>
      <c r="H124" s="334"/>
    </row>
    <row r="125" spans="1:8" ht="24" customHeight="1">
      <c r="A125" s="786" t="s">
        <v>177</v>
      </c>
      <c r="B125" s="787"/>
      <c r="C125" s="787"/>
      <c r="D125" s="787"/>
      <c r="E125" s="788"/>
      <c r="F125" s="117">
        <f>SUM(F121:F124)</f>
        <v>7434000</v>
      </c>
    </row>
    <row r="126" spans="1:8" ht="12" customHeight="1"/>
    <row r="127" spans="1:8" ht="15" customHeight="1">
      <c r="A127" s="772" t="s">
        <v>252</v>
      </c>
      <c r="B127" s="772"/>
      <c r="C127" s="4"/>
      <c r="D127" s="259"/>
      <c r="E127" s="83"/>
      <c r="F127" s="83"/>
    </row>
    <row r="128" spans="1:8" ht="12" customHeight="1">
      <c r="A128" s="297"/>
      <c r="B128" s="297"/>
      <c r="C128" s="4"/>
      <c r="D128" s="259"/>
      <c r="E128" s="83"/>
      <c r="F128" s="83"/>
    </row>
    <row r="129" spans="1:6" s="3" customFormat="1" ht="18" customHeight="1">
      <c r="A129" s="20" t="s">
        <v>30</v>
      </c>
      <c r="B129" s="20" t="s">
        <v>31</v>
      </c>
      <c r="C129" s="20" t="s">
        <v>12</v>
      </c>
      <c r="D129" s="20" t="s">
        <v>32</v>
      </c>
      <c r="E129" s="37" t="s">
        <v>40</v>
      </c>
      <c r="F129" s="37" t="s">
        <v>33</v>
      </c>
    </row>
    <row r="130" spans="1:6" ht="27" customHeight="1">
      <c r="A130" s="72" t="s">
        <v>264</v>
      </c>
      <c r="B130" s="289" t="s">
        <v>308</v>
      </c>
      <c r="C130" s="84" t="s">
        <v>10</v>
      </c>
      <c r="D130" s="98">
        <v>450</v>
      </c>
      <c r="E130" s="233">
        <v>4500</v>
      </c>
      <c r="F130" s="233">
        <f>+D130*E130</f>
        <v>2025000</v>
      </c>
    </row>
    <row r="131" spans="1:6" ht="27" customHeight="1">
      <c r="A131" s="72" t="s">
        <v>265</v>
      </c>
      <c r="B131" s="289" t="s">
        <v>258</v>
      </c>
      <c r="C131" s="84" t="s">
        <v>12</v>
      </c>
      <c r="D131" s="98">
        <v>31</v>
      </c>
      <c r="E131" s="233">
        <v>20000</v>
      </c>
      <c r="F131" s="38">
        <f t="shared" ref="F131:F134" si="23">+D131*E131</f>
        <v>620000</v>
      </c>
    </row>
    <row r="132" spans="1:6" ht="27" customHeight="1">
      <c r="A132" s="72" t="s">
        <v>266</v>
      </c>
      <c r="B132" s="289" t="s">
        <v>259</v>
      </c>
      <c r="C132" s="84" t="s">
        <v>12</v>
      </c>
      <c r="D132" s="98">
        <v>4</v>
      </c>
      <c r="E132" s="233">
        <v>25000</v>
      </c>
      <c r="F132" s="38">
        <f t="shared" si="23"/>
        <v>100000</v>
      </c>
    </row>
    <row r="133" spans="1:6" ht="27" customHeight="1">
      <c r="A133" s="72" t="s">
        <v>267</v>
      </c>
      <c r="B133" s="284" t="s">
        <v>260</v>
      </c>
      <c r="C133" s="84" t="s">
        <v>12</v>
      </c>
      <c r="D133" s="98">
        <v>32</v>
      </c>
      <c r="E133" s="233">
        <v>17500</v>
      </c>
      <c r="F133" s="38">
        <f t="shared" si="23"/>
        <v>560000</v>
      </c>
    </row>
    <row r="134" spans="1:6" s="132" customFormat="1" ht="18" customHeight="1">
      <c r="A134" s="77" t="s">
        <v>268</v>
      </c>
      <c r="B134" s="284" t="s">
        <v>25</v>
      </c>
      <c r="C134" s="84" t="s">
        <v>12</v>
      </c>
      <c r="D134" s="98">
        <v>35</v>
      </c>
      <c r="E134" s="283">
        <v>28000</v>
      </c>
      <c r="F134" s="118">
        <f t="shared" si="23"/>
        <v>980000</v>
      </c>
    </row>
    <row r="135" spans="1:6" ht="24" customHeight="1">
      <c r="A135" s="786" t="s">
        <v>178</v>
      </c>
      <c r="B135" s="787"/>
      <c r="C135" s="787"/>
      <c r="D135" s="787"/>
      <c r="E135" s="788"/>
      <c r="F135" s="117">
        <f>SUM(F130:F134)</f>
        <v>4285000</v>
      </c>
    </row>
    <row r="138" spans="1:6" ht="15.75">
      <c r="A138" s="790" t="s">
        <v>181</v>
      </c>
      <c r="B138" s="790"/>
    </row>
    <row r="140" spans="1:6" ht="18" customHeight="1">
      <c r="A140" s="789" t="str">
        <f>+A5</f>
        <v>SERIE N° 1 : INSTALLATION</v>
      </c>
      <c r="B140" s="789"/>
      <c r="F140" s="35">
        <f>F9</f>
        <v>750000</v>
      </c>
    </row>
    <row r="141" spans="1:6" ht="18" customHeight="1">
      <c r="A141" s="789" t="str">
        <f>+A11</f>
        <v>SERIE N° 2 : TERRASSEMENT</v>
      </c>
      <c r="B141" s="789"/>
      <c r="F141" s="35">
        <f>F17</f>
        <v>343602</v>
      </c>
    </row>
    <row r="142" spans="1:6" ht="18" customHeight="1">
      <c r="A142" s="789" t="str">
        <f>+A19</f>
        <v xml:space="preserve">SERIE N° 3 : BETONS ET MACONNERIES EN INFRASTRUCTURE </v>
      </c>
      <c r="B142" s="789"/>
      <c r="F142" s="35">
        <f>F29</f>
        <v>23124731.5</v>
      </c>
    </row>
    <row r="143" spans="1:6" ht="18" customHeight="1">
      <c r="A143" s="789" t="str">
        <f>+A31</f>
        <v>SERIE N° 4 : BETONS ET MACONNERIES EN SUPERSTRUCTURE</v>
      </c>
      <c r="B143" s="789"/>
      <c r="F143" s="35">
        <f>F41</f>
        <v>57847547.5</v>
      </c>
    </row>
    <row r="144" spans="1:6" ht="18" customHeight="1">
      <c r="A144" s="789" t="str">
        <f>+A42</f>
        <v>SERIE N° 5: ENDUIT</v>
      </c>
      <c r="B144" s="789"/>
      <c r="F144" s="35">
        <f>F47</f>
        <v>8847144</v>
      </c>
    </row>
    <row r="145" spans="1:8" ht="18" customHeight="1">
      <c r="A145" s="300" t="str">
        <f>A49</f>
        <v>SERIE N° 6: REVETEMENT</v>
      </c>
      <c r="B145" s="300"/>
      <c r="F145" s="35">
        <f>F56</f>
        <v>16700760.000000002</v>
      </c>
    </row>
    <row r="146" spans="1:8" ht="18" customHeight="1">
      <c r="A146" s="789" t="str">
        <f>+A58</f>
        <v xml:space="preserve">SERIE N° 7: CHARPENTE - COUVERTURE - PLAFONNAGE </v>
      </c>
      <c r="B146" s="789"/>
      <c r="F146" s="35">
        <f>F67</f>
        <v>14098433.000000002</v>
      </c>
    </row>
    <row r="147" spans="1:8" ht="18" customHeight="1">
      <c r="A147" s="789" t="str">
        <f>+A69</f>
        <v>SERIE N° 8: MENUISERIE BOIS</v>
      </c>
      <c r="B147" s="789"/>
      <c r="F147" s="35">
        <f>F83</f>
        <v>14607000</v>
      </c>
    </row>
    <row r="148" spans="1:8" ht="18" customHeight="1">
      <c r="A148" s="789" t="str">
        <f>A85</f>
        <v>SERIE N° 9: MENUISERIE METALLIQUE</v>
      </c>
      <c r="B148" s="789"/>
      <c r="F148" s="35">
        <f>F96</f>
        <v>12662400</v>
      </c>
    </row>
    <row r="149" spans="1:8" ht="18" customHeight="1">
      <c r="A149" s="789" t="str">
        <f>+A98</f>
        <v>SERIE N° 10: PEINTURE ET VITRERIE</v>
      </c>
      <c r="B149" s="789"/>
      <c r="F149" s="35">
        <f>F106</f>
        <v>9618050</v>
      </c>
    </row>
    <row r="150" spans="1:8" ht="18" customHeight="1">
      <c r="A150" s="789" t="str">
        <f>+A108</f>
        <v>SERIE N° 11: PLOMBERIE SANITAIRE</v>
      </c>
      <c r="B150" s="789"/>
      <c r="F150" s="35">
        <f>F115</f>
        <v>3686000</v>
      </c>
    </row>
    <row r="151" spans="1:8" ht="18" customHeight="1">
      <c r="A151" s="789" t="str">
        <f>+A118</f>
        <v>SERIE N° 12: ASSAINISSEMENT</v>
      </c>
      <c r="B151" s="789"/>
      <c r="F151" s="35">
        <f>F125</f>
        <v>7434000</v>
      </c>
    </row>
    <row r="152" spans="1:8" ht="18" customHeight="1">
      <c r="A152" s="789" t="str">
        <f>+A127</f>
        <v>SERIE N° 13: ELECTRICITE</v>
      </c>
      <c r="B152" s="789"/>
      <c r="F152" s="35">
        <f>F135</f>
        <v>4285000</v>
      </c>
    </row>
    <row r="153" spans="1:8" ht="26.25" customHeight="1"/>
    <row r="154" spans="1:8" ht="20.25" customHeight="1">
      <c r="A154" s="791" t="s">
        <v>64</v>
      </c>
      <c r="B154" s="792"/>
      <c r="C154" s="792"/>
      <c r="D154" s="792"/>
      <c r="E154" s="793"/>
      <c r="F154" s="320">
        <f>SUM(F140:F153)</f>
        <v>174004668</v>
      </c>
      <c r="G154" s="319" t="s">
        <v>375</v>
      </c>
      <c r="H154" s="343">
        <f>SUM(H140:H153)</f>
        <v>0</v>
      </c>
    </row>
    <row r="156" spans="1:8" ht="18" customHeight="1">
      <c r="F156" s="321">
        <f>F154*5</f>
        <v>870023340</v>
      </c>
      <c r="G156" s="322" t="s">
        <v>362</v>
      </c>
    </row>
    <row r="158" spans="1:8">
      <c r="F158" s="6"/>
    </row>
    <row r="160" spans="1:8">
      <c r="F160" s="344">
        <v>175000000</v>
      </c>
      <c r="G160" s="322" t="s">
        <v>384</v>
      </c>
    </row>
  </sheetData>
  <mergeCells count="43">
    <mergeCell ref="A154:E154"/>
    <mergeCell ref="A1:F1"/>
    <mergeCell ref="A2:F2"/>
    <mergeCell ref="A3:F3"/>
    <mergeCell ref="A49:B49"/>
    <mergeCell ref="A56:E56"/>
    <mergeCell ref="A19:D19"/>
    <mergeCell ref="A5:B5"/>
    <mergeCell ref="A9:E9"/>
    <mergeCell ref="A11:B11"/>
    <mergeCell ref="A17:E17"/>
    <mergeCell ref="A147:B147"/>
    <mergeCell ref="A149:B149"/>
    <mergeCell ref="A150:B150"/>
    <mergeCell ref="A151:B151"/>
    <mergeCell ref="A152:B152"/>
    <mergeCell ref="A148:B148"/>
    <mergeCell ref="A146:B146"/>
    <mergeCell ref="A115:E115"/>
    <mergeCell ref="A118:B118"/>
    <mergeCell ref="A125:E125"/>
    <mergeCell ref="A127:B127"/>
    <mergeCell ref="A135:E135"/>
    <mergeCell ref="A138:B138"/>
    <mergeCell ref="A140:B140"/>
    <mergeCell ref="A141:B141"/>
    <mergeCell ref="A142:B142"/>
    <mergeCell ref="A143:B143"/>
    <mergeCell ref="A144:B144"/>
    <mergeCell ref="A108:B108"/>
    <mergeCell ref="A29:E29"/>
    <mergeCell ref="A31:D31"/>
    <mergeCell ref="A41:E41"/>
    <mergeCell ref="A42:B42"/>
    <mergeCell ref="A47:E47"/>
    <mergeCell ref="A58:B58"/>
    <mergeCell ref="A67:E67"/>
    <mergeCell ref="A69:B69"/>
    <mergeCell ref="A83:E83"/>
    <mergeCell ref="A98:B98"/>
    <mergeCell ref="A106:E106"/>
    <mergeCell ref="A85:B85"/>
    <mergeCell ref="A96:E96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4"/>
  <sheetViews>
    <sheetView topLeftCell="A100" workbookViewId="0">
      <selection activeCell="B115" sqref="B115"/>
    </sheetView>
  </sheetViews>
  <sheetFormatPr baseColWidth="10" defaultRowHeight="12.75"/>
  <cols>
    <col min="1" max="1" width="10.7109375" style="356" customWidth="1"/>
    <col min="2" max="2" width="44.42578125" style="353" customWidth="1"/>
    <col min="3" max="3" width="7.7109375" style="356" customWidth="1"/>
    <col min="4" max="4" width="11.5703125" style="356" customWidth="1"/>
    <col min="5" max="5" width="12.42578125" style="357" customWidth="1"/>
    <col min="6" max="6" width="14.28515625" style="357" customWidth="1"/>
    <col min="7" max="7" width="13.140625" style="354" customWidth="1"/>
    <col min="8" max="8" width="12.7109375" style="354" customWidth="1"/>
    <col min="9" max="11" width="8.85546875" style="353" customWidth="1"/>
    <col min="12" max="16384" width="11.42578125" style="353"/>
  </cols>
  <sheetData>
    <row r="1" spans="1:8" ht="16.5" customHeight="1">
      <c r="A1" s="806" t="s">
        <v>549</v>
      </c>
      <c r="B1" s="806"/>
      <c r="C1" s="806"/>
      <c r="D1" s="806"/>
      <c r="E1" s="806"/>
      <c r="F1" s="806"/>
    </row>
    <row r="2" spans="1:8" ht="16.5" customHeight="1">
      <c r="A2" s="806" t="s">
        <v>550</v>
      </c>
      <c r="B2" s="806"/>
      <c r="C2" s="806"/>
      <c r="D2" s="806"/>
      <c r="E2" s="806"/>
      <c r="F2" s="806"/>
    </row>
    <row r="3" spans="1:8" ht="15" customHeight="1">
      <c r="A3" s="352"/>
      <c r="B3" s="352"/>
      <c r="C3" s="352"/>
      <c r="D3" s="352"/>
      <c r="E3" s="352"/>
      <c r="F3" s="352"/>
    </row>
    <row r="4" spans="1:8" ht="15" customHeight="1">
      <c r="A4" s="804" t="s">
        <v>68</v>
      </c>
      <c r="B4" s="804"/>
      <c r="C4" s="355"/>
    </row>
    <row r="5" spans="1:8" ht="15" customHeight="1"/>
    <row r="6" spans="1:8" s="356" customFormat="1" ht="18" customHeight="1">
      <c r="A6" s="358" t="s">
        <v>30</v>
      </c>
      <c r="B6" s="358" t="s">
        <v>31</v>
      </c>
      <c r="C6" s="358" t="s">
        <v>12</v>
      </c>
      <c r="D6" s="358" t="s">
        <v>32</v>
      </c>
      <c r="E6" s="359" t="s">
        <v>40</v>
      </c>
      <c r="F6" s="359" t="s">
        <v>33</v>
      </c>
      <c r="G6" s="720"/>
      <c r="H6" s="720"/>
    </row>
    <row r="7" spans="1:8" s="356" customFormat="1" ht="18" customHeight="1">
      <c r="A7" s="360" t="s">
        <v>0</v>
      </c>
      <c r="B7" s="361" t="s">
        <v>210</v>
      </c>
      <c r="C7" s="362" t="s">
        <v>2</v>
      </c>
      <c r="D7" s="366">
        <v>16.425000000000001</v>
      </c>
      <c r="E7" s="364">
        <v>4000</v>
      </c>
      <c r="F7" s="364">
        <f>D7*E7</f>
        <v>65700</v>
      </c>
      <c r="G7" s="720"/>
      <c r="H7" s="720"/>
    </row>
    <row r="8" spans="1:8" s="356" customFormat="1" ht="18" customHeight="1">
      <c r="A8" s="360" t="s">
        <v>211</v>
      </c>
      <c r="B8" s="361" t="s">
        <v>213</v>
      </c>
      <c r="C8" s="362" t="s">
        <v>2</v>
      </c>
      <c r="D8" s="366">
        <v>7.5</v>
      </c>
      <c r="E8" s="364">
        <v>6000</v>
      </c>
      <c r="F8" s="364">
        <f t="shared" ref="F8" si="0">D8*E8</f>
        <v>45000</v>
      </c>
      <c r="G8" s="720"/>
      <c r="H8" s="720"/>
    </row>
    <row r="9" spans="1:8" ht="24" customHeight="1">
      <c r="A9" s="807" t="s">
        <v>92</v>
      </c>
      <c r="B9" s="808"/>
      <c r="C9" s="808"/>
      <c r="D9" s="808"/>
      <c r="E9" s="809"/>
      <c r="F9" s="365">
        <f>SUM(F7:F8)</f>
        <v>110700</v>
      </c>
    </row>
    <row r="10" spans="1:8" ht="15" customHeight="1">
      <c r="A10" s="368"/>
      <c r="B10" s="369"/>
      <c r="C10" s="370"/>
      <c r="D10" s="371"/>
      <c r="E10" s="372"/>
      <c r="F10" s="373"/>
    </row>
    <row r="11" spans="1:8" ht="15" customHeight="1">
      <c r="A11" s="810" t="s">
        <v>551</v>
      </c>
      <c r="B11" s="810"/>
      <c r="C11" s="810"/>
      <c r="D11" s="810"/>
      <c r="E11" s="372"/>
      <c r="F11" s="374"/>
    </row>
    <row r="12" spans="1:8" ht="15" customHeight="1">
      <c r="A12" s="368"/>
      <c r="B12" s="369"/>
      <c r="C12" s="370"/>
      <c r="D12" s="371"/>
      <c r="E12" s="372"/>
      <c r="F12" s="374"/>
    </row>
    <row r="13" spans="1:8" s="356" customFormat="1" ht="18" customHeight="1">
      <c r="A13" s="358" t="s">
        <v>30</v>
      </c>
      <c r="B13" s="358" t="s">
        <v>31</v>
      </c>
      <c r="C13" s="358" t="s">
        <v>12</v>
      </c>
      <c r="D13" s="358" t="s">
        <v>32</v>
      </c>
      <c r="E13" s="359" t="s">
        <v>40</v>
      </c>
      <c r="F13" s="359" t="s">
        <v>33</v>
      </c>
      <c r="G13" s="720"/>
      <c r="H13" s="720"/>
    </row>
    <row r="14" spans="1:8" ht="27" customHeight="1">
      <c r="A14" s="375" t="s">
        <v>3</v>
      </c>
      <c r="B14" s="376" t="s">
        <v>411</v>
      </c>
      <c r="C14" s="377" t="s">
        <v>2</v>
      </c>
      <c r="D14" s="378">
        <v>1.05</v>
      </c>
      <c r="E14" s="379">
        <v>238500</v>
      </c>
      <c r="F14" s="281">
        <f>+D14*E14</f>
        <v>250425</v>
      </c>
    </row>
    <row r="15" spans="1:8" ht="27" customHeight="1">
      <c r="A15" s="375" t="s">
        <v>4</v>
      </c>
      <c r="B15" s="380" t="s">
        <v>552</v>
      </c>
      <c r="C15" s="381" t="s">
        <v>2</v>
      </c>
      <c r="D15" s="382">
        <v>10.5</v>
      </c>
      <c r="E15" s="283">
        <v>75000</v>
      </c>
      <c r="F15" s="281">
        <f t="shared" ref="F15:F22" si="1">+D15*E15</f>
        <v>787500</v>
      </c>
    </row>
    <row r="16" spans="1:8" s="384" customFormat="1" ht="27" customHeight="1">
      <c r="A16" s="375" t="s">
        <v>5</v>
      </c>
      <c r="B16" s="383" t="s">
        <v>216</v>
      </c>
      <c r="C16" s="381" t="s">
        <v>2</v>
      </c>
      <c r="D16" s="382">
        <v>7</v>
      </c>
      <c r="E16" s="283">
        <v>346000</v>
      </c>
      <c r="F16" s="282">
        <f t="shared" si="1"/>
        <v>2422000</v>
      </c>
      <c r="G16" s="385"/>
      <c r="H16" s="385"/>
    </row>
    <row r="17" spans="1:10" ht="39.75" customHeight="1">
      <c r="A17" s="375" t="s">
        <v>6</v>
      </c>
      <c r="B17" s="380" t="s">
        <v>561</v>
      </c>
      <c r="C17" s="362" t="s">
        <v>2</v>
      </c>
      <c r="D17" s="386">
        <v>11.6</v>
      </c>
      <c r="E17" s="281">
        <v>390000</v>
      </c>
      <c r="F17" s="281">
        <f t="shared" si="1"/>
        <v>4524000</v>
      </c>
    </row>
    <row r="18" spans="1:10" ht="27" customHeight="1">
      <c r="A18" s="375" t="s">
        <v>17</v>
      </c>
      <c r="B18" s="376" t="s">
        <v>218</v>
      </c>
      <c r="C18" s="377" t="s">
        <v>18</v>
      </c>
      <c r="D18" s="349">
        <f>D17*95</f>
        <v>1102</v>
      </c>
      <c r="E18" s="387">
        <v>5500</v>
      </c>
      <c r="F18" s="281">
        <f t="shared" si="1"/>
        <v>6061000</v>
      </c>
    </row>
    <row r="19" spans="1:10" ht="18" customHeight="1">
      <c r="A19" s="360" t="s">
        <v>19</v>
      </c>
      <c r="B19" s="380" t="s">
        <v>219</v>
      </c>
      <c r="C19" s="362" t="s">
        <v>1</v>
      </c>
      <c r="D19" s="388">
        <v>79</v>
      </c>
      <c r="E19" s="282">
        <v>11500</v>
      </c>
      <c r="F19" s="281">
        <f t="shared" si="1"/>
        <v>908500</v>
      </c>
    </row>
    <row r="20" spans="1:10" ht="25.5">
      <c r="A20" s="375" t="s">
        <v>65</v>
      </c>
      <c r="B20" s="380" t="s">
        <v>553</v>
      </c>
      <c r="C20" s="362" t="s">
        <v>2</v>
      </c>
      <c r="D20" s="366">
        <v>7.5839999999999996</v>
      </c>
      <c r="E20" s="281">
        <v>190000</v>
      </c>
      <c r="F20" s="281">
        <f t="shared" si="1"/>
        <v>1440960</v>
      </c>
    </row>
    <row r="21" spans="1:10" ht="25.5">
      <c r="A21" s="375" t="s">
        <v>554</v>
      </c>
      <c r="B21" s="380" t="s">
        <v>222</v>
      </c>
      <c r="C21" s="362" t="s">
        <v>1</v>
      </c>
      <c r="D21" s="363">
        <v>96</v>
      </c>
      <c r="E21" s="281">
        <v>19000</v>
      </c>
      <c r="F21" s="281">
        <f t="shared" si="1"/>
        <v>1824000</v>
      </c>
    </row>
    <row r="22" spans="1:10" s="384" customFormat="1" ht="18" customHeight="1">
      <c r="A22" s="360" t="s">
        <v>601</v>
      </c>
      <c r="B22" s="383" t="s">
        <v>225</v>
      </c>
      <c r="C22" s="362" t="s">
        <v>1</v>
      </c>
      <c r="D22" s="363">
        <v>1.6</v>
      </c>
      <c r="E22" s="282">
        <v>274500</v>
      </c>
      <c r="F22" s="282">
        <f t="shared" si="1"/>
        <v>439200</v>
      </c>
      <c r="G22" s="408"/>
      <c r="I22" s="408"/>
      <c r="J22" s="408"/>
    </row>
    <row r="23" spans="1:10" ht="24" customHeight="1">
      <c r="A23" s="807" t="s">
        <v>555</v>
      </c>
      <c r="B23" s="808"/>
      <c r="C23" s="808"/>
      <c r="D23" s="808"/>
      <c r="E23" s="809"/>
      <c r="F23" s="365">
        <f>SUM(F14:F22)</f>
        <v>18657585</v>
      </c>
      <c r="G23" s="720"/>
    </row>
    <row r="24" spans="1:10" ht="15" customHeight="1">
      <c r="A24" s="368"/>
      <c r="B24" s="369"/>
      <c r="C24" s="370"/>
      <c r="D24" s="395"/>
      <c r="E24" s="396"/>
      <c r="F24" s="394"/>
    </row>
    <row r="25" spans="1:10" ht="15" customHeight="1">
      <c r="A25" s="368"/>
      <c r="B25" s="369"/>
      <c r="C25" s="370"/>
      <c r="D25" s="395"/>
      <c r="E25" s="396"/>
      <c r="F25" s="396"/>
    </row>
    <row r="26" spans="1:10" ht="15" customHeight="1">
      <c r="A26" s="804" t="s">
        <v>170</v>
      </c>
      <c r="B26" s="804"/>
      <c r="C26" s="355"/>
    </row>
    <row r="27" spans="1:10" ht="15" customHeight="1"/>
    <row r="28" spans="1:10" s="356" customFormat="1" ht="18" customHeight="1">
      <c r="A28" s="358" t="s">
        <v>30</v>
      </c>
      <c r="B28" s="358" t="s">
        <v>31</v>
      </c>
      <c r="C28" s="358" t="s">
        <v>12</v>
      </c>
      <c r="D28" s="358" t="s">
        <v>32</v>
      </c>
      <c r="E28" s="359" t="s">
        <v>40</v>
      </c>
      <c r="F28" s="359" t="s">
        <v>33</v>
      </c>
      <c r="G28" s="720"/>
      <c r="H28" s="720"/>
    </row>
    <row r="29" spans="1:10" s="356" customFormat="1" ht="38.25" customHeight="1">
      <c r="A29" s="375" t="s">
        <v>9</v>
      </c>
      <c r="B29" s="383" t="s">
        <v>556</v>
      </c>
      <c r="C29" s="362" t="s">
        <v>1</v>
      </c>
      <c r="D29" s="363">
        <v>261.5</v>
      </c>
      <c r="E29" s="306">
        <v>5700</v>
      </c>
      <c r="F29" s="306">
        <f>+D29*E29</f>
        <v>1490550</v>
      </c>
      <c r="G29" s="720"/>
      <c r="H29" s="720"/>
    </row>
    <row r="30" spans="1:10" s="356" customFormat="1" ht="27" customHeight="1">
      <c r="A30" s="375" t="s">
        <v>66</v>
      </c>
      <c r="B30" s="383" t="s">
        <v>335</v>
      </c>
      <c r="C30" s="362" t="s">
        <v>1</v>
      </c>
      <c r="D30" s="363">
        <v>17.45</v>
      </c>
      <c r="E30" s="306">
        <v>7800</v>
      </c>
      <c r="F30" s="306">
        <f>+D30*E30</f>
        <v>136110</v>
      </c>
      <c r="G30" s="720"/>
      <c r="H30" s="720"/>
    </row>
    <row r="31" spans="1:10" ht="24" customHeight="1">
      <c r="A31" s="807" t="s">
        <v>93</v>
      </c>
      <c r="B31" s="808"/>
      <c r="C31" s="808"/>
      <c r="D31" s="808"/>
      <c r="E31" s="809"/>
      <c r="F31" s="365">
        <f>SUM(F29:F30)</f>
        <v>1626660</v>
      </c>
      <c r="G31" s="720"/>
    </row>
    <row r="32" spans="1:10" ht="15" customHeight="1">
      <c r="A32" s="368"/>
      <c r="B32" s="369"/>
      <c r="C32" s="370"/>
      <c r="D32" s="395"/>
      <c r="E32" s="396"/>
      <c r="F32" s="396"/>
    </row>
    <row r="33" spans="1:8" ht="15" customHeight="1">
      <c r="A33" s="804" t="s">
        <v>226</v>
      </c>
      <c r="B33" s="804"/>
      <c r="C33" s="355"/>
    </row>
    <row r="34" spans="1:8" ht="15" customHeight="1"/>
    <row r="35" spans="1:8" s="356" customFormat="1" ht="18" customHeight="1">
      <c r="A35" s="358" t="s">
        <v>30</v>
      </c>
      <c r="B35" s="358" t="s">
        <v>31</v>
      </c>
      <c r="C35" s="358" t="s">
        <v>12</v>
      </c>
      <c r="D35" s="358" t="s">
        <v>32</v>
      </c>
      <c r="E35" s="359" t="s">
        <v>40</v>
      </c>
      <c r="F35" s="359" t="s">
        <v>33</v>
      </c>
      <c r="G35" s="720"/>
      <c r="H35" s="720"/>
    </row>
    <row r="36" spans="1:8" s="356" customFormat="1" ht="27" customHeight="1">
      <c r="A36" s="375" t="s">
        <v>74</v>
      </c>
      <c r="B36" s="383" t="s">
        <v>360</v>
      </c>
      <c r="C36" s="362" t="s">
        <v>1</v>
      </c>
      <c r="D36" s="363">
        <v>83.5</v>
      </c>
      <c r="E36" s="281">
        <v>43000</v>
      </c>
      <c r="F36" s="306">
        <f t="shared" ref="F36:F37" si="2">D36*E36</f>
        <v>3590500</v>
      </c>
      <c r="G36" s="720"/>
      <c r="H36" s="720"/>
    </row>
    <row r="37" spans="1:8" s="356" customFormat="1" ht="27" customHeight="1">
      <c r="A37" s="375" t="s">
        <v>75</v>
      </c>
      <c r="B37" s="383" t="s">
        <v>227</v>
      </c>
      <c r="C37" s="362" t="s">
        <v>1</v>
      </c>
      <c r="D37" s="363">
        <v>52</v>
      </c>
      <c r="E37" s="306">
        <v>4000</v>
      </c>
      <c r="F37" s="306">
        <f t="shared" si="2"/>
        <v>208000</v>
      </c>
      <c r="G37" s="720"/>
      <c r="H37" s="720"/>
    </row>
    <row r="38" spans="1:8" ht="24" customHeight="1">
      <c r="A38" s="807" t="s">
        <v>93</v>
      </c>
      <c r="B38" s="808"/>
      <c r="C38" s="808"/>
      <c r="D38" s="808"/>
      <c r="E38" s="809"/>
      <c r="F38" s="365">
        <f>SUM(F36:F37)</f>
        <v>3798500</v>
      </c>
      <c r="G38" s="720"/>
    </row>
    <row r="39" spans="1:8" ht="15" customHeight="1">
      <c r="A39" s="368"/>
      <c r="B39" s="369"/>
      <c r="C39" s="370"/>
      <c r="D39" s="395"/>
      <c r="E39" s="396"/>
      <c r="F39" s="396"/>
    </row>
    <row r="40" spans="1:8" ht="15" customHeight="1">
      <c r="A40" s="368"/>
      <c r="B40" s="369"/>
      <c r="C40" s="370"/>
      <c r="D40" s="395"/>
      <c r="E40" s="396"/>
      <c r="F40" s="396"/>
    </row>
    <row r="41" spans="1:8" ht="15" customHeight="1">
      <c r="A41" s="368"/>
      <c r="B41" s="369"/>
      <c r="C41" s="370"/>
      <c r="D41" s="395"/>
      <c r="E41" s="396"/>
      <c r="F41" s="396"/>
    </row>
    <row r="42" spans="1:8" ht="15" customHeight="1">
      <c r="A42" s="368"/>
      <c r="B42" s="369"/>
      <c r="C42" s="370"/>
      <c r="D42" s="395"/>
      <c r="E42" s="396"/>
      <c r="F42" s="396"/>
    </row>
    <row r="43" spans="1:8" ht="15" customHeight="1">
      <c r="A43" s="804" t="s">
        <v>241</v>
      </c>
      <c r="B43" s="804"/>
      <c r="C43" s="370"/>
      <c r="D43" s="395"/>
      <c r="E43" s="396"/>
      <c r="F43" s="396"/>
    </row>
    <row r="44" spans="1:8" ht="15" customHeight="1">
      <c r="A44" s="368"/>
      <c r="B44" s="369"/>
      <c r="C44" s="370"/>
      <c r="D44" s="395"/>
      <c r="E44" s="396"/>
      <c r="F44" s="396"/>
    </row>
    <row r="45" spans="1:8" s="356" customFormat="1" ht="18" customHeight="1">
      <c r="A45" s="358" t="s">
        <v>30</v>
      </c>
      <c r="B45" s="358" t="s">
        <v>31</v>
      </c>
      <c r="C45" s="358" t="s">
        <v>12</v>
      </c>
      <c r="D45" s="358" t="s">
        <v>32</v>
      </c>
      <c r="E45" s="359" t="s">
        <v>40</v>
      </c>
      <c r="F45" s="359" t="s">
        <v>33</v>
      </c>
      <c r="G45" s="720"/>
      <c r="H45" s="720"/>
    </row>
    <row r="46" spans="1:8" ht="25.5">
      <c r="A46" s="375" t="s">
        <v>11</v>
      </c>
      <c r="B46" s="383" t="s">
        <v>230</v>
      </c>
      <c r="C46" s="381" t="s">
        <v>2</v>
      </c>
      <c r="D46" s="378">
        <v>0.5</v>
      </c>
      <c r="E46" s="379">
        <v>1000000</v>
      </c>
      <c r="F46" s="281">
        <f>+D46*E46</f>
        <v>500000</v>
      </c>
    </row>
    <row r="47" spans="1:8" ht="25.5">
      <c r="A47" s="375" t="s">
        <v>13</v>
      </c>
      <c r="B47" s="383" t="s">
        <v>558</v>
      </c>
      <c r="C47" s="381" t="s">
        <v>1</v>
      </c>
      <c r="D47" s="348">
        <v>96.5</v>
      </c>
      <c r="E47" s="233">
        <v>18500</v>
      </c>
      <c r="F47" s="281">
        <f t="shared" ref="F47" si="3">+D47*E47</f>
        <v>1785250</v>
      </c>
    </row>
    <row r="48" spans="1:8" ht="25.5">
      <c r="A48" s="375" t="s">
        <v>81</v>
      </c>
      <c r="B48" s="383" t="s">
        <v>557</v>
      </c>
      <c r="C48" s="381" t="s">
        <v>10</v>
      </c>
      <c r="D48" s="348">
        <v>20</v>
      </c>
      <c r="E48" s="233">
        <v>9600</v>
      </c>
      <c r="F48" s="281">
        <f t="shared" ref="F48:F51" si="4">+D48*E48</f>
        <v>192000</v>
      </c>
    </row>
    <row r="49" spans="1:8" ht="25.5" customHeight="1">
      <c r="A49" s="375" t="s">
        <v>69</v>
      </c>
      <c r="B49" s="383" t="s">
        <v>233</v>
      </c>
      <c r="C49" s="381" t="s">
        <v>1</v>
      </c>
      <c r="D49" s="348">
        <v>87.2</v>
      </c>
      <c r="E49" s="233">
        <v>24500</v>
      </c>
      <c r="F49" s="281">
        <f t="shared" si="4"/>
        <v>2136400</v>
      </c>
    </row>
    <row r="50" spans="1:8" s="384" customFormat="1" ht="18" customHeight="1">
      <c r="A50" s="360" t="s">
        <v>70</v>
      </c>
      <c r="B50" s="397" t="s">
        <v>232</v>
      </c>
      <c r="C50" s="381" t="s">
        <v>10</v>
      </c>
      <c r="D50" s="348">
        <v>88</v>
      </c>
      <c r="E50" s="283">
        <v>3500</v>
      </c>
      <c r="F50" s="282">
        <f t="shared" si="4"/>
        <v>308000</v>
      </c>
      <c r="G50" s="385"/>
      <c r="H50" s="385"/>
    </row>
    <row r="51" spans="1:8" s="384" customFormat="1" ht="18" customHeight="1">
      <c r="A51" s="360" t="s">
        <v>171</v>
      </c>
      <c r="B51" s="380" t="s">
        <v>76</v>
      </c>
      <c r="C51" s="362" t="s">
        <v>10</v>
      </c>
      <c r="D51" s="388">
        <v>12</v>
      </c>
      <c r="E51" s="282">
        <v>18500</v>
      </c>
      <c r="F51" s="282">
        <f t="shared" si="4"/>
        <v>222000</v>
      </c>
      <c r="G51" s="720"/>
      <c r="H51" s="385"/>
    </row>
    <row r="52" spans="1:8" ht="24" customHeight="1">
      <c r="A52" s="807" t="s">
        <v>234</v>
      </c>
      <c r="B52" s="808"/>
      <c r="C52" s="808"/>
      <c r="D52" s="808"/>
      <c r="E52" s="809"/>
      <c r="F52" s="365">
        <f>SUM(F46:F51)</f>
        <v>5143650</v>
      </c>
      <c r="G52" s="720"/>
    </row>
    <row r="53" spans="1:8" ht="15" customHeight="1">
      <c r="A53" s="368"/>
      <c r="B53" s="369"/>
      <c r="C53" s="370"/>
      <c r="D53" s="371"/>
      <c r="E53" s="396"/>
      <c r="F53" s="396"/>
    </row>
    <row r="54" spans="1:8" ht="15" customHeight="1">
      <c r="A54" s="804" t="s">
        <v>242</v>
      </c>
      <c r="B54" s="804"/>
      <c r="C54" s="370"/>
      <c r="D54" s="395"/>
      <c r="E54" s="396"/>
      <c r="F54" s="396"/>
    </row>
    <row r="55" spans="1:8" ht="15" customHeight="1">
      <c r="A55" s="722"/>
      <c r="B55" s="722"/>
      <c r="C55" s="370"/>
      <c r="D55" s="395"/>
      <c r="E55" s="396"/>
      <c r="F55" s="396"/>
    </row>
    <row r="56" spans="1:8" s="356" customFormat="1" ht="18" customHeight="1">
      <c r="A56" s="358" t="s">
        <v>30</v>
      </c>
      <c r="B56" s="358" t="s">
        <v>31</v>
      </c>
      <c r="C56" s="358" t="s">
        <v>12</v>
      </c>
      <c r="D56" s="358" t="s">
        <v>32</v>
      </c>
      <c r="E56" s="359" t="s">
        <v>40</v>
      </c>
      <c r="F56" s="359" t="s">
        <v>33</v>
      </c>
      <c r="G56" s="720"/>
      <c r="H56" s="720"/>
    </row>
    <row r="57" spans="1:8" ht="27" customHeight="1">
      <c r="A57" s="399" t="s">
        <v>14</v>
      </c>
      <c r="B57" s="383" t="s">
        <v>600</v>
      </c>
      <c r="C57" s="381" t="s">
        <v>12</v>
      </c>
      <c r="D57" s="400">
        <v>1</v>
      </c>
      <c r="E57" s="281">
        <v>431000</v>
      </c>
      <c r="F57" s="281">
        <f t="shared" ref="F57" si="5">+D57*E57</f>
        <v>431000</v>
      </c>
    </row>
    <row r="58" spans="1:8" ht="27" customHeight="1">
      <c r="A58" s="399" t="s">
        <v>15</v>
      </c>
      <c r="B58" s="383" t="s">
        <v>353</v>
      </c>
      <c r="C58" s="381" t="s">
        <v>12</v>
      </c>
      <c r="D58" s="400">
        <v>1</v>
      </c>
      <c r="E58" s="281">
        <v>246000</v>
      </c>
      <c r="F58" s="281">
        <f t="shared" ref="F58:F60" si="6">+D58*E58</f>
        <v>246000</v>
      </c>
    </row>
    <row r="59" spans="1:8" ht="27" customHeight="1">
      <c r="A59" s="399" t="s">
        <v>20</v>
      </c>
      <c r="B59" s="383" t="s">
        <v>355</v>
      </c>
      <c r="C59" s="381" t="s">
        <v>12</v>
      </c>
      <c r="D59" s="400">
        <v>2</v>
      </c>
      <c r="E59" s="281">
        <v>220000</v>
      </c>
      <c r="F59" s="281">
        <f t="shared" ref="F59" si="7">+D59*E59</f>
        <v>440000</v>
      </c>
    </row>
    <row r="60" spans="1:8" ht="27" customHeight="1">
      <c r="A60" s="399" t="s">
        <v>20</v>
      </c>
      <c r="B60" s="383" t="s">
        <v>356</v>
      </c>
      <c r="C60" s="381" t="s">
        <v>12</v>
      </c>
      <c r="D60" s="400">
        <v>2</v>
      </c>
      <c r="E60" s="281">
        <v>165000</v>
      </c>
      <c r="F60" s="281">
        <f t="shared" si="6"/>
        <v>330000</v>
      </c>
    </row>
    <row r="61" spans="1:8" ht="24" customHeight="1">
      <c r="A61" s="807" t="s">
        <v>95</v>
      </c>
      <c r="B61" s="808"/>
      <c r="C61" s="808"/>
      <c r="D61" s="808"/>
      <c r="E61" s="809"/>
      <c r="F61" s="365">
        <f>SUM(F58:F60)</f>
        <v>1016000</v>
      </c>
      <c r="G61" s="720"/>
    </row>
    <row r="62" spans="1:8" ht="15" customHeight="1">
      <c r="A62" s="722"/>
      <c r="B62" s="722"/>
      <c r="C62" s="370"/>
      <c r="D62" s="395"/>
      <c r="E62" s="396"/>
      <c r="F62" s="396"/>
    </row>
    <row r="63" spans="1:8" ht="15" customHeight="1">
      <c r="A63" s="804" t="s">
        <v>245</v>
      </c>
      <c r="B63" s="804"/>
      <c r="C63" s="370"/>
      <c r="D63" s="395"/>
      <c r="E63" s="396"/>
      <c r="F63" s="396"/>
    </row>
    <row r="64" spans="1:8" ht="15" customHeight="1">
      <c r="A64" s="722"/>
      <c r="B64" s="722"/>
      <c r="C64" s="370"/>
      <c r="D64" s="395"/>
      <c r="E64" s="396"/>
      <c r="F64" s="396"/>
    </row>
    <row r="65" spans="1:8" s="356" customFormat="1" ht="18" customHeight="1">
      <c r="A65" s="358" t="s">
        <v>30</v>
      </c>
      <c r="B65" s="358" t="s">
        <v>31</v>
      </c>
      <c r="C65" s="358" t="s">
        <v>12</v>
      </c>
      <c r="D65" s="358" t="s">
        <v>32</v>
      </c>
      <c r="E65" s="359" t="s">
        <v>40</v>
      </c>
      <c r="F65" s="359" t="s">
        <v>33</v>
      </c>
      <c r="G65" s="720"/>
      <c r="H65" s="720"/>
    </row>
    <row r="66" spans="1:8" ht="27" customHeight="1">
      <c r="A66" s="399" t="s">
        <v>21</v>
      </c>
      <c r="B66" s="383" t="s">
        <v>599</v>
      </c>
      <c r="C66" s="381" t="s">
        <v>1</v>
      </c>
      <c r="D66" s="400">
        <v>7.91</v>
      </c>
      <c r="E66" s="281">
        <v>160000</v>
      </c>
      <c r="F66" s="281">
        <f t="shared" ref="F66" si="8">+D66*E66</f>
        <v>1265600</v>
      </c>
    </row>
    <row r="67" spans="1:8" ht="24" customHeight="1">
      <c r="A67" s="807" t="s">
        <v>235</v>
      </c>
      <c r="B67" s="808"/>
      <c r="C67" s="808"/>
      <c r="D67" s="808"/>
      <c r="E67" s="809"/>
      <c r="F67" s="365">
        <f>SUM(F66:F66)</f>
        <v>1265600</v>
      </c>
      <c r="G67" s="720"/>
    </row>
    <row r="68" spans="1:8" ht="15" customHeight="1">
      <c r="A68" s="722"/>
      <c r="B68" s="722"/>
      <c r="C68" s="370"/>
      <c r="D68" s="395"/>
      <c r="E68" s="396"/>
      <c r="F68" s="396"/>
    </row>
    <row r="69" spans="1:8" ht="15" customHeight="1">
      <c r="A69" s="804" t="s">
        <v>248</v>
      </c>
      <c r="B69" s="804"/>
      <c r="C69" s="370"/>
      <c r="D69" s="395"/>
      <c r="E69" s="396"/>
      <c r="F69" s="396"/>
    </row>
    <row r="70" spans="1:8" ht="15" customHeight="1">
      <c r="A70" s="722"/>
      <c r="B70" s="722"/>
      <c r="C70" s="370"/>
      <c r="D70" s="395"/>
      <c r="E70" s="396"/>
      <c r="F70" s="396"/>
    </row>
    <row r="71" spans="1:8" s="356" customFormat="1" ht="18" customHeight="1">
      <c r="A71" s="358" t="s">
        <v>30</v>
      </c>
      <c r="B71" s="358" t="s">
        <v>31</v>
      </c>
      <c r="C71" s="358" t="s">
        <v>12</v>
      </c>
      <c r="D71" s="358" t="s">
        <v>32</v>
      </c>
      <c r="E71" s="359" t="s">
        <v>40</v>
      </c>
      <c r="F71" s="359" t="s">
        <v>33</v>
      </c>
      <c r="G71" s="720"/>
      <c r="H71" s="720"/>
    </row>
    <row r="72" spans="1:8" s="356" customFormat="1" ht="18" customHeight="1">
      <c r="A72" s="401" t="s">
        <v>173</v>
      </c>
      <c r="B72" s="402" t="s">
        <v>191</v>
      </c>
      <c r="C72" s="381" t="s">
        <v>1</v>
      </c>
      <c r="D72" s="406">
        <v>261.5</v>
      </c>
      <c r="E72" s="306">
        <v>1500</v>
      </c>
      <c r="F72" s="403">
        <f>D72*E72</f>
        <v>392250</v>
      </c>
      <c r="G72" s="720"/>
      <c r="H72" s="720"/>
    </row>
    <row r="73" spans="1:8" s="356" customFormat="1" ht="27" customHeight="1">
      <c r="A73" s="399" t="s">
        <v>174</v>
      </c>
      <c r="B73" s="404" t="s">
        <v>246</v>
      </c>
      <c r="C73" s="381" t="s">
        <v>1</v>
      </c>
      <c r="D73" s="381">
        <v>74</v>
      </c>
      <c r="E73" s="306">
        <v>4000</v>
      </c>
      <c r="F73" s="403">
        <f t="shared" ref="F73:F76" si="9">D73*E73</f>
        <v>296000</v>
      </c>
      <c r="G73" s="720"/>
      <c r="H73" s="720"/>
    </row>
    <row r="74" spans="1:8" s="356" customFormat="1" ht="27" customHeight="1">
      <c r="A74" s="399" t="s">
        <v>175</v>
      </c>
      <c r="B74" s="404" t="s">
        <v>247</v>
      </c>
      <c r="C74" s="381" t="s">
        <v>1</v>
      </c>
      <c r="D74" s="381">
        <v>186</v>
      </c>
      <c r="E74" s="306">
        <v>3000</v>
      </c>
      <c r="F74" s="403">
        <f t="shared" si="9"/>
        <v>558000</v>
      </c>
      <c r="G74" s="720"/>
      <c r="H74" s="720"/>
    </row>
    <row r="75" spans="1:8" ht="27" customHeight="1">
      <c r="A75" s="399" t="s">
        <v>176</v>
      </c>
      <c r="B75" s="380" t="s">
        <v>310</v>
      </c>
      <c r="C75" s="405" t="s">
        <v>1</v>
      </c>
      <c r="D75" s="406">
        <v>121.45</v>
      </c>
      <c r="E75" s="283">
        <v>6000</v>
      </c>
      <c r="F75" s="403">
        <f t="shared" si="9"/>
        <v>728700</v>
      </c>
    </row>
    <row r="76" spans="1:8" ht="27" customHeight="1">
      <c r="A76" s="399" t="s">
        <v>249</v>
      </c>
      <c r="B76" s="383" t="s">
        <v>117</v>
      </c>
      <c r="C76" s="362" t="s">
        <v>1</v>
      </c>
      <c r="D76" s="363">
        <v>4.9000000000000004</v>
      </c>
      <c r="E76" s="281">
        <v>32000</v>
      </c>
      <c r="F76" s="403">
        <f t="shared" si="9"/>
        <v>156800</v>
      </c>
    </row>
    <row r="77" spans="1:8" ht="24" customHeight="1">
      <c r="A77" s="807" t="s">
        <v>94</v>
      </c>
      <c r="B77" s="808"/>
      <c r="C77" s="808"/>
      <c r="D77" s="808"/>
      <c r="E77" s="809"/>
      <c r="F77" s="365">
        <f>SUM(F72:F76)</f>
        <v>2131750</v>
      </c>
    </row>
    <row r="78" spans="1:8" ht="15" customHeight="1"/>
    <row r="79" spans="1:8" ht="15" customHeight="1"/>
    <row r="80" spans="1:8" ht="15" customHeight="1"/>
    <row r="81" spans="1:8" ht="15" customHeight="1"/>
    <row r="82" spans="1:8" ht="15" customHeight="1"/>
    <row r="83" spans="1:8" ht="15" customHeight="1">
      <c r="A83" s="804" t="s">
        <v>250</v>
      </c>
      <c r="B83" s="804"/>
      <c r="C83" s="370"/>
      <c r="D83" s="395"/>
      <c r="E83" s="396"/>
      <c r="F83" s="396"/>
    </row>
    <row r="84" spans="1:8" ht="15" customHeight="1">
      <c r="A84" s="722"/>
      <c r="B84" s="722"/>
      <c r="C84" s="370"/>
      <c r="D84" s="395"/>
      <c r="E84" s="396"/>
      <c r="F84" s="396"/>
    </row>
    <row r="85" spans="1:8" s="356" customFormat="1" ht="18" customHeight="1">
      <c r="A85" s="358" t="s">
        <v>30</v>
      </c>
      <c r="B85" s="358" t="s">
        <v>31</v>
      </c>
      <c r="C85" s="358" t="s">
        <v>12</v>
      </c>
      <c r="D85" s="358" t="s">
        <v>32</v>
      </c>
      <c r="E85" s="359" t="s">
        <v>40</v>
      </c>
      <c r="F85" s="359" t="s">
        <v>33</v>
      </c>
      <c r="G85" s="720"/>
      <c r="H85" s="720"/>
    </row>
    <row r="86" spans="1:8" s="384" customFormat="1" ht="18.75" customHeight="1">
      <c r="A86" s="401" t="s">
        <v>26</v>
      </c>
      <c r="B86" s="380" t="s">
        <v>559</v>
      </c>
      <c r="C86" s="362" t="s">
        <v>129</v>
      </c>
      <c r="D86" s="407">
        <v>1</v>
      </c>
      <c r="E86" s="283">
        <v>250000</v>
      </c>
      <c r="F86" s="283">
        <f>+D86*E86</f>
        <v>250000</v>
      </c>
      <c r="G86" s="385"/>
      <c r="H86" s="385"/>
    </row>
    <row r="87" spans="1:8" ht="24" customHeight="1">
      <c r="A87" s="807" t="s">
        <v>172</v>
      </c>
      <c r="B87" s="808"/>
      <c r="C87" s="808"/>
      <c r="D87" s="808"/>
      <c r="E87" s="809"/>
      <c r="F87" s="365">
        <f>SUM(F86:F86)</f>
        <v>250000</v>
      </c>
    </row>
    <row r="88" spans="1:8" ht="15" customHeight="1"/>
    <row r="89" spans="1:8" ht="15" customHeight="1">
      <c r="A89" s="804" t="s">
        <v>252</v>
      </c>
      <c r="B89" s="804"/>
      <c r="C89" s="370"/>
      <c r="D89" s="395"/>
      <c r="E89" s="396"/>
      <c r="F89" s="396"/>
    </row>
    <row r="90" spans="1:8" ht="15" customHeight="1">
      <c r="A90" s="722"/>
      <c r="B90" s="722"/>
      <c r="C90" s="370"/>
      <c r="D90" s="395"/>
      <c r="E90" s="396"/>
      <c r="F90" s="396"/>
    </row>
    <row r="91" spans="1:8" s="356" customFormat="1" ht="18" customHeight="1">
      <c r="A91" s="358" t="s">
        <v>30</v>
      </c>
      <c r="B91" s="358" t="s">
        <v>31</v>
      </c>
      <c r="C91" s="358" t="s">
        <v>12</v>
      </c>
      <c r="D91" s="358" t="s">
        <v>32</v>
      </c>
      <c r="E91" s="359" t="s">
        <v>40</v>
      </c>
      <c r="F91" s="359" t="s">
        <v>33</v>
      </c>
      <c r="G91" s="720"/>
      <c r="H91" s="720"/>
    </row>
    <row r="92" spans="1:8" s="384" customFormat="1" ht="18" customHeight="1">
      <c r="A92" s="401" t="s">
        <v>264</v>
      </c>
      <c r="B92" s="383" t="s">
        <v>560</v>
      </c>
      <c r="C92" s="362" t="s">
        <v>129</v>
      </c>
      <c r="D92" s="407">
        <v>1</v>
      </c>
      <c r="E92" s="283">
        <v>500000</v>
      </c>
      <c r="F92" s="283">
        <f>+D92*E92</f>
        <v>500000</v>
      </c>
      <c r="G92" s="385"/>
      <c r="H92" s="385"/>
    </row>
    <row r="93" spans="1:8" ht="24" customHeight="1">
      <c r="A93" s="807" t="s">
        <v>178</v>
      </c>
      <c r="B93" s="808"/>
      <c r="C93" s="808"/>
      <c r="D93" s="808"/>
      <c r="E93" s="809"/>
      <c r="F93" s="365">
        <f>SUM(F92:F92)</f>
        <v>500000</v>
      </c>
    </row>
    <row r="94" spans="1:8">
      <c r="H94" s="720"/>
    </row>
    <row r="95" spans="1:8" ht="16.5">
      <c r="G95" s="724"/>
      <c r="H95" s="725"/>
    </row>
    <row r="96" spans="1:8" ht="15.75">
      <c r="A96" s="812" t="s">
        <v>181</v>
      </c>
      <c r="B96" s="812"/>
    </row>
    <row r="97" spans="1:8" ht="18" customHeight="1">
      <c r="A97" s="811" t="str">
        <f>+A4</f>
        <v>SERIE N° 2 : TERRASSEMENT</v>
      </c>
      <c r="B97" s="811"/>
      <c r="F97" s="357">
        <f>F9</f>
        <v>110700</v>
      </c>
    </row>
    <row r="98" spans="1:8" ht="18" customHeight="1">
      <c r="A98" s="811" t="str">
        <f>+A11</f>
        <v>SERIE N° 3 : BETONS ET MACONNERIES EN INFRASTRUCTURE ET SUPERSTRUCTURE</v>
      </c>
      <c r="B98" s="811"/>
      <c r="F98" s="357">
        <f>F23</f>
        <v>18657585</v>
      </c>
    </row>
    <row r="99" spans="1:8" ht="18" customHeight="1">
      <c r="A99" s="811" t="str">
        <f>+A26</f>
        <v>SERIE N° 5: ENDUIT</v>
      </c>
      <c r="B99" s="811"/>
      <c r="F99" s="357">
        <f>F31</f>
        <v>1626660</v>
      </c>
    </row>
    <row r="100" spans="1:8" ht="18" customHeight="1">
      <c r="A100" s="721" t="str">
        <f>A33</f>
        <v>SERIE N° 6: REVETEMENT</v>
      </c>
      <c r="B100" s="721"/>
      <c r="F100" s="357">
        <f>F38</f>
        <v>3798500</v>
      </c>
    </row>
    <row r="101" spans="1:8" ht="18" customHeight="1">
      <c r="A101" s="811" t="str">
        <f>+A43</f>
        <v xml:space="preserve">SERIE N° 7: CHARPENTE - COUVERTURE - PLAFONNAGE </v>
      </c>
      <c r="B101" s="811"/>
      <c r="F101" s="357">
        <f>F52</f>
        <v>5143650</v>
      </c>
    </row>
    <row r="102" spans="1:8" ht="18" customHeight="1">
      <c r="A102" s="811" t="str">
        <f>+A54</f>
        <v>SERIE N° 8: MENUISERIE BOIS</v>
      </c>
      <c r="B102" s="811"/>
      <c r="F102" s="357">
        <f>F61</f>
        <v>1016000</v>
      </c>
    </row>
    <row r="103" spans="1:8" ht="18" customHeight="1">
      <c r="A103" s="811" t="str">
        <f>A63</f>
        <v>SERIE N° 9: MENUISERIE METALLIQUE</v>
      </c>
      <c r="B103" s="811"/>
      <c r="F103" s="357">
        <f>F67</f>
        <v>1265600</v>
      </c>
    </row>
    <row r="104" spans="1:8" ht="18" customHeight="1">
      <c r="A104" s="811" t="str">
        <f>+A69</f>
        <v>SERIE N° 10: PEINTURE ET VITRERIE</v>
      </c>
      <c r="B104" s="811"/>
      <c r="F104" s="357">
        <f>F77</f>
        <v>2131750</v>
      </c>
    </row>
    <row r="105" spans="1:8" ht="18" customHeight="1">
      <c r="A105" s="811" t="str">
        <f>+A83</f>
        <v>SERIE N° 11: PLOMBERIE SANITAIRE</v>
      </c>
      <c r="B105" s="811"/>
      <c r="F105" s="357">
        <f>F87</f>
        <v>250000</v>
      </c>
    </row>
    <row r="106" spans="1:8" ht="18" customHeight="1">
      <c r="A106" s="811" t="str">
        <f>+A89</f>
        <v>SERIE N° 13: ELECTRICITE</v>
      </c>
      <c r="B106" s="811"/>
      <c r="F106" s="357">
        <f>F93</f>
        <v>500000</v>
      </c>
    </row>
    <row r="107" spans="1:8" ht="26.25" customHeight="1"/>
    <row r="108" spans="1:8" ht="20.25" customHeight="1">
      <c r="A108" s="836" t="s">
        <v>64</v>
      </c>
      <c r="B108" s="837"/>
      <c r="C108" s="837"/>
      <c r="D108" s="837"/>
      <c r="E108" s="838"/>
      <c r="F108" s="726">
        <f>SUM(F97:F107)</f>
        <v>34500445</v>
      </c>
      <c r="G108" s="724"/>
      <c r="H108" s="724"/>
    </row>
    <row r="110" spans="1:8" ht="27.75" customHeight="1">
      <c r="A110" s="839" t="s">
        <v>602</v>
      </c>
      <c r="B110" s="840"/>
      <c r="C110" s="840"/>
      <c r="D110" s="840"/>
      <c r="E110" s="840"/>
      <c r="F110" s="840"/>
    </row>
    <row r="111" spans="1:8" ht="18" customHeight="1">
      <c r="F111" s="410"/>
    </row>
    <row r="112" spans="1:8" ht="57.75" customHeight="1"/>
    <row r="113" spans="1:8" s="357" customFormat="1">
      <c r="A113" s="356"/>
      <c r="B113" s="353"/>
      <c r="C113" s="356"/>
      <c r="D113" s="356"/>
      <c r="E113" s="354"/>
      <c r="F113" s="411"/>
      <c r="G113" s="354"/>
      <c r="H113" s="354"/>
    </row>
    <row r="114" spans="1:8" s="357" customFormat="1">
      <c r="A114" s="356"/>
      <c r="B114" s="353"/>
      <c r="C114" s="356"/>
      <c r="D114" s="356"/>
      <c r="E114" s="354"/>
      <c r="G114" s="354"/>
      <c r="H114" s="354"/>
    </row>
  </sheetData>
  <mergeCells count="34">
    <mergeCell ref="A9:E9"/>
    <mergeCell ref="A11:D11"/>
    <mergeCell ref="A23:E23"/>
    <mergeCell ref="A26:B26"/>
    <mergeCell ref="A1:F1"/>
    <mergeCell ref="A2:F2"/>
    <mergeCell ref="A4:B4"/>
    <mergeCell ref="A83:B83"/>
    <mergeCell ref="A31:E31"/>
    <mergeCell ref="A33:B33"/>
    <mergeCell ref="A38:E38"/>
    <mergeCell ref="A43:B43"/>
    <mergeCell ref="A52:E52"/>
    <mergeCell ref="A54:B54"/>
    <mergeCell ref="A61:E61"/>
    <mergeCell ref="A63:B63"/>
    <mergeCell ref="A67:E67"/>
    <mergeCell ref="A69:B69"/>
    <mergeCell ref="A77:E77"/>
    <mergeCell ref="A97:B97"/>
    <mergeCell ref="A98:B98"/>
    <mergeCell ref="A99:B99"/>
    <mergeCell ref="A101:B101"/>
    <mergeCell ref="A87:E87"/>
    <mergeCell ref="A89:B89"/>
    <mergeCell ref="A93:E93"/>
    <mergeCell ref="A96:B96"/>
    <mergeCell ref="A108:E108"/>
    <mergeCell ref="A110:F110"/>
    <mergeCell ref="A102:B102"/>
    <mergeCell ref="A103:B103"/>
    <mergeCell ref="A104:B104"/>
    <mergeCell ref="A105:B105"/>
    <mergeCell ref="A106:B106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4"/>
  <sheetViews>
    <sheetView workbookViewId="0">
      <selection activeCell="I102" sqref="I102"/>
    </sheetView>
  </sheetViews>
  <sheetFormatPr baseColWidth="10" defaultRowHeight="12.75"/>
  <cols>
    <col min="1" max="1" width="10.7109375" style="356" customWidth="1"/>
    <col min="2" max="2" width="44.42578125" style="353" customWidth="1"/>
    <col min="3" max="3" width="7.7109375" style="356" customWidth="1"/>
    <col min="4" max="4" width="11.5703125" style="356" customWidth="1"/>
    <col min="5" max="5" width="12.42578125" style="357" customWidth="1"/>
    <col min="6" max="6" width="14.28515625" style="357" customWidth="1"/>
    <col min="7" max="7" width="13.140625" style="357" customWidth="1"/>
    <col min="8" max="8" width="12.7109375" style="357" customWidth="1"/>
    <col min="9" max="11" width="8.85546875" style="353" customWidth="1"/>
    <col min="12" max="16384" width="11.42578125" style="353"/>
  </cols>
  <sheetData>
    <row r="1" spans="1:8" ht="16.5" customHeight="1">
      <c r="A1" s="806" t="s">
        <v>549</v>
      </c>
      <c r="B1" s="806"/>
      <c r="C1" s="806"/>
      <c r="D1" s="806"/>
      <c r="E1" s="806"/>
      <c r="F1" s="806"/>
    </row>
    <row r="2" spans="1:8" ht="16.5" customHeight="1">
      <c r="A2" s="806" t="s">
        <v>550</v>
      </c>
      <c r="B2" s="806"/>
      <c r="C2" s="806"/>
      <c r="D2" s="806"/>
      <c r="E2" s="806"/>
      <c r="F2" s="806"/>
    </row>
    <row r="3" spans="1:8" ht="15" customHeight="1">
      <c r="A3" s="352"/>
      <c r="B3" s="352"/>
      <c r="C3" s="352"/>
      <c r="D3" s="352"/>
      <c r="E3" s="352"/>
      <c r="F3" s="352"/>
    </row>
    <row r="4" spans="1:8" ht="15" customHeight="1">
      <c r="A4" s="804" t="s">
        <v>68</v>
      </c>
      <c r="B4" s="804"/>
      <c r="C4" s="355"/>
    </row>
    <row r="5" spans="1:8" ht="15" customHeight="1"/>
    <row r="6" spans="1:8" s="356" customFormat="1" ht="18" customHeight="1">
      <c r="A6" s="358" t="s">
        <v>30</v>
      </c>
      <c r="B6" s="358" t="s">
        <v>31</v>
      </c>
      <c r="C6" s="358" t="s">
        <v>12</v>
      </c>
      <c r="D6" s="358" t="s">
        <v>32</v>
      </c>
      <c r="E6" s="359" t="s">
        <v>40</v>
      </c>
      <c r="F6" s="359" t="s">
        <v>33</v>
      </c>
      <c r="G6" s="690"/>
      <c r="H6" s="690"/>
    </row>
    <row r="7" spans="1:8" s="356" customFormat="1" ht="18" customHeight="1">
      <c r="A7" s="360" t="s">
        <v>0</v>
      </c>
      <c r="B7" s="361" t="s">
        <v>210</v>
      </c>
      <c r="C7" s="362" t="s">
        <v>2</v>
      </c>
      <c r="D7" s="366">
        <v>16.425000000000001</v>
      </c>
      <c r="E7" s="364">
        <v>4000</v>
      </c>
      <c r="F7" s="364">
        <f>D7*E7</f>
        <v>65700</v>
      </c>
      <c r="G7" s="690"/>
      <c r="H7" s="690"/>
    </row>
    <row r="8" spans="1:8" s="356" customFormat="1" ht="18" customHeight="1">
      <c r="A8" s="360" t="s">
        <v>211</v>
      </c>
      <c r="B8" s="361" t="s">
        <v>213</v>
      </c>
      <c r="C8" s="362" t="s">
        <v>2</v>
      </c>
      <c r="D8" s="366">
        <v>7.5</v>
      </c>
      <c r="E8" s="364">
        <v>6000</v>
      </c>
      <c r="F8" s="364">
        <f t="shared" ref="F8" si="0">D8*E8</f>
        <v>45000</v>
      </c>
      <c r="G8" s="690"/>
      <c r="H8" s="690"/>
    </row>
    <row r="9" spans="1:8" ht="24" customHeight="1">
      <c r="A9" s="807" t="s">
        <v>92</v>
      </c>
      <c r="B9" s="808"/>
      <c r="C9" s="808"/>
      <c r="D9" s="808"/>
      <c r="E9" s="809"/>
      <c r="F9" s="365">
        <f>SUM(F7:F8)</f>
        <v>110700</v>
      </c>
    </row>
    <row r="10" spans="1:8" ht="15" customHeight="1">
      <c r="A10" s="368"/>
      <c r="B10" s="369"/>
      <c r="C10" s="370"/>
      <c r="D10" s="371"/>
      <c r="E10" s="372"/>
      <c r="F10" s="373"/>
    </row>
    <row r="11" spans="1:8" ht="15" customHeight="1">
      <c r="A11" s="810" t="s">
        <v>551</v>
      </c>
      <c r="B11" s="810"/>
      <c r="C11" s="810"/>
      <c r="D11" s="810"/>
      <c r="E11" s="372"/>
      <c r="F11" s="374"/>
    </row>
    <row r="12" spans="1:8" ht="15" customHeight="1">
      <c r="A12" s="368"/>
      <c r="B12" s="369"/>
      <c r="C12" s="370"/>
      <c r="D12" s="371"/>
      <c r="E12" s="372"/>
      <c r="F12" s="374"/>
    </row>
    <row r="13" spans="1:8" s="356" customFormat="1" ht="18" customHeight="1">
      <c r="A13" s="358" t="s">
        <v>30</v>
      </c>
      <c r="B13" s="358" t="s">
        <v>31</v>
      </c>
      <c r="C13" s="358" t="s">
        <v>12</v>
      </c>
      <c r="D13" s="358" t="s">
        <v>32</v>
      </c>
      <c r="E13" s="359" t="s">
        <v>40</v>
      </c>
      <c r="F13" s="359" t="s">
        <v>33</v>
      </c>
      <c r="G13" s="690"/>
      <c r="H13" s="690"/>
    </row>
    <row r="14" spans="1:8" ht="27" customHeight="1">
      <c r="A14" s="375" t="s">
        <v>3</v>
      </c>
      <c r="B14" s="376" t="s">
        <v>411</v>
      </c>
      <c r="C14" s="377" t="s">
        <v>2</v>
      </c>
      <c r="D14" s="378">
        <v>1.6</v>
      </c>
      <c r="E14" s="379">
        <v>252000</v>
      </c>
      <c r="F14" s="281">
        <f>+D14*E14</f>
        <v>403200</v>
      </c>
    </row>
    <row r="15" spans="1:8" ht="27" customHeight="1">
      <c r="A15" s="375" t="s">
        <v>4</v>
      </c>
      <c r="B15" s="380" t="s">
        <v>552</v>
      </c>
      <c r="C15" s="381" t="s">
        <v>2</v>
      </c>
      <c r="D15" s="382">
        <v>11.4</v>
      </c>
      <c r="E15" s="283">
        <v>75000</v>
      </c>
      <c r="F15" s="281">
        <f t="shared" ref="F15:F22" si="1">+D15*E15</f>
        <v>855000</v>
      </c>
      <c r="H15" s="354"/>
    </row>
    <row r="16" spans="1:8" s="384" customFormat="1" ht="27" customHeight="1">
      <c r="A16" s="375" t="s">
        <v>5</v>
      </c>
      <c r="B16" s="383" t="s">
        <v>216</v>
      </c>
      <c r="C16" s="381" t="s">
        <v>2</v>
      </c>
      <c r="D16" s="382">
        <v>8.5</v>
      </c>
      <c r="E16" s="283">
        <v>365000</v>
      </c>
      <c r="F16" s="282">
        <f t="shared" si="1"/>
        <v>3102500</v>
      </c>
      <c r="G16" s="408"/>
      <c r="H16" s="408"/>
    </row>
    <row r="17" spans="1:10" ht="39.75" customHeight="1">
      <c r="A17" s="375" t="s">
        <v>6</v>
      </c>
      <c r="B17" s="380" t="s">
        <v>603</v>
      </c>
      <c r="C17" s="362" t="s">
        <v>2</v>
      </c>
      <c r="D17" s="386">
        <v>13.5</v>
      </c>
      <c r="E17" s="281">
        <v>399000</v>
      </c>
      <c r="F17" s="281">
        <f t="shared" si="1"/>
        <v>5386500</v>
      </c>
    </row>
    <row r="18" spans="1:10" ht="27" customHeight="1">
      <c r="A18" s="375" t="s">
        <v>17</v>
      </c>
      <c r="B18" s="376" t="s">
        <v>218</v>
      </c>
      <c r="C18" s="377" t="s">
        <v>18</v>
      </c>
      <c r="D18" s="349">
        <f>D17*95</f>
        <v>1282.5</v>
      </c>
      <c r="E18" s="387">
        <v>6500</v>
      </c>
      <c r="F18" s="281">
        <f t="shared" si="1"/>
        <v>8336250</v>
      </c>
    </row>
    <row r="19" spans="1:10" ht="18" customHeight="1">
      <c r="A19" s="360" t="s">
        <v>19</v>
      </c>
      <c r="B19" s="380" t="s">
        <v>219</v>
      </c>
      <c r="C19" s="362" t="s">
        <v>1</v>
      </c>
      <c r="D19" s="388">
        <v>85</v>
      </c>
      <c r="E19" s="282">
        <v>11500</v>
      </c>
      <c r="F19" s="281">
        <f t="shared" si="1"/>
        <v>977500</v>
      </c>
    </row>
    <row r="20" spans="1:10" ht="25.5">
      <c r="A20" s="375" t="s">
        <v>65</v>
      </c>
      <c r="B20" s="380" t="s">
        <v>553</v>
      </c>
      <c r="C20" s="362" t="s">
        <v>2</v>
      </c>
      <c r="D20" s="366">
        <v>8.9499999999999993</v>
      </c>
      <c r="E20" s="281">
        <v>210000</v>
      </c>
      <c r="F20" s="281">
        <f t="shared" si="1"/>
        <v>1879499.9999999998</v>
      </c>
    </row>
    <row r="21" spans="1:10" ht="25.5">
      <c r="A21" s="375" t="s">
        <v>554</v>
      </c>
      <c r="B21" s="380" t="s">
        <v>222</v>
      </c>
      <c r="C21" s="362" t="s">
        <v>1</v>
      </c>
      <c r="D21" s="363">
        <v>124.5</v>
      </c>
      <c r="E21" s="281">
        <v>19000</v>
      </c>
      <c r="F21" s="281">
        <f t="shared" si="1"/>
        <v>2365500</v>
      </c>
    </row>
    <row r="22" spans="1:10" s="384" customFormat="1" ht="18" customHeight="1">
      <c r="A22" s="360" t="s">
        <v>601</v>
      </c>
      <c r="B22" s="383" t="s">
        <v>225</v>
      </c>
      <c r="C22" s="362" t="s">
        <v>1</v>
      </c>
      <c r="D22" s="363">
        <v>2</v>
      </c>
      <c r="E22" s="282">
        <v>274500</v>
      </c>
      <c r="F22" s="282">
        <f t="shared" si="1"/>
        <v>549000</v>
      </c>
      <c r="G22" s="408"/>
      <c r="H22" s="727"/>
      <c r="I22" s="408"/>
      <c r="J22" s="408"/>
    </row>
    <row r="23" spans="1:10" ht="24" customHeight="1">
      <c r="A23" s="807" t="s">
        <v>555</v>
      </c>
      <c r="B23" s="808"/>
      <c r="C23" s="808"/>
      <c r="D23" s="808"/>
      <c r="E23" s="809"/>
      <c r="F23" s="365">
        <f>SUM(F14:F22)</f>
        <v>23854950</v>
      </c>
      <c r="G23" s="690"/>
    </row>
    <row r="24" spans="1:10" ht="15" customHeight="1">
      <c r="A24" s="368"/>
      <c r="B24" s="369"/>
      <c r="C24" s="370"/>
      <c r="D24" s="395"/>
      <c r="E24" s="396"/>
      <c r="F24" s="394"/>
    </row>
    <row r="25" spans="1:10" ht="15" customHeight="1">
      <c r="A25" s="368"/>
      <c r="B25" s="369"/>
      <c r="C25" s="370"/>
      <c r="D25" s="395"/>
      <c r="E25" s="396"/>
      <c r="F25" s="396"/>
    </row>
    <row r="26" spans="1:10" ht="15" customHeight="1">
      <c r="A26" s="804" t="s">
        <v>170</v>
      </c>
      <c r="B26" s="804"/>
      <c r="C26" s="355"/>
    </row>
    <row r="27" spans="1:10" ht="15" customHeight="1"/>
    <row r="28" spans="1:10" s="356" customFormat="1" ht="18" customHeight="1">
      <c r="A28" s="358" t="s">
        <v>30</v>
      </c>
      <c r="B28" s="358" t="s">
        <v>31</v>
      </c>
      <c r="C28" s="358" t="s">
        <v>12</v>
      </c>
      <c r="D28" s="358" t="s">
        <v>32</v>
      </c>
      <c r="E28" s="359" t="s">
        <v>40</v>
      </c>
      <c r="F28" s="359" t="s">
        <v>33</v>
      </c>
      <c r="G28" s="690"/>
      <c r="H28" s="690"/>
    </row>
    <row r="29" spans="1:10" s="356" customFormat="1" ht="38.25" customHeight="1">
      <c r="A29" s="375" t="s">
        <v>9</v>
      </c>
      <c r="B29" s="383" t="s">
        <v>556</v>
      </c>
      <c r="C29" s="362" t="s">
        <v>1</v>
      </c>
      <c r="D29" s="363">
        <v>286</v>
      </c>
      <c r="E29" s="306">
        <v>6500</v>
      </c>
      <c r="F29" s="306">
        <f>+D29*E29</f>
        <v>1859000</v>
      </c>
      <c r="G29" s="690"/>
      <c r="H29" s="690"/>
    </row>
    <row r="30" spans="1:10" s="356" customFormat="1" ht="27" customHeight="1">
      <c r="A30" s="375" t="s">
        <v>66</v>
      </c>
      <c r="B30" s="383" t="s">
        <v>335</v>
      </c>
      <c r="C30" s="362" t="s">
        <v>1</v>
      </c>
      <c r="D30" s="363">
        <v>19.8</v>
      </c>
      <c r="E30" s="306">
        <v>8000</v>
      </c>
      <c r="F30" s="306">
        <f>+D30*E30</f>
        <v>158400</v>
      </c>
      <c r="G30" s="690"/>
      <c r="H30" s="690"/>
    </row>
    <row r="31" spans="1:10" ht="24" customHeight="1">
      <c r="A31" s="807" t="s">
        <v>93</v>
      </c>
      <c r="B31" s="808"/>
      <c r="C31" s="808"/>
      <c r="D31" s="808"/>
      <c r="E31" s="809"/>
      <c r="F31" s="365">
        <f>SUM(F29:F30)</f>
        <v>2017400</v>
      </c>
      <c r="G31" s="690"/>
    </row>
    <row r="32" spans="1:10" ht="15" customHeight="1">
      <c r="A32" s="368"/>
      <c r="B32" s="369"/>
      <c r="C32" s="370"/>
      <c r="D32" s="395"/>
      <c r="E32" s="396"/>
      <c r="F32" s="396"/>
    </row>
    <row r="33" spans="1:8" ht="15" customHeight="1">
      <c r="A33" s="804" t="s">
        <v>226</v>
      </c>
      <c r="B33" s="804"/>
      <c r="C33" s="355"/>
    </row>
    <row r="34" spans="1:8" ht="15" customHeight="1"/>
    <row r="35" spans="1:8" s="356" customFormat="1" ht="18" customHeight="1">
      <c r="A35" s="358" t="s">
        <v>30</v>
      </c>
      <c r="B35" s="358" t="s">
        <v>31</v>
      </c>
      <c r="C35" s="358" t="s">
        <v>12</v>
      </c>
      <c r="D35" s="358" t="s">
        <v>32</v>
      </c>
      <c r="E35" s="359" t="s">
        <v>40</v>
      </c>
      <c r="F35" s="359" t="s">
        <v>33</v>
      </c>
      <c r="G35" s="690"/>
      <c r="H35" s="690"/>
    </row>
    <row r="36" spans="1:8" s="356" customFormat="1" ht="27" customHeight="1">
      <c r="A36" s="375" t="s">
        <v>74</v>
      </c>
      <c r="B36" s="383" t="s">
        <v>360</v>
      </c>
      <c r="C36" s="362" t="s">
        <v>1</v>
      </c>
      <c r="D36" s="363">
        <v>83.5</v>
      </c>
      <c r="E36" s="281">
        <v>48000</v>
      </c>
      <c r="F36" s="306">
        <f t="shared" ref="F36:F37" si="2">D36*E36</f>
        <v>4008000</v>
      </c>
      <c r="G36" s="690"/>
      <c r="H36" s="690"/>
    </row>
    <row r="37" spans="1:8" s="356" customFormat="1" ht="27" customHeight="1">
      <c r="A37" s="375" t="s">
        <v>75</v>
      </c>
      <c r="B37" s="383" t="s">
        <v>227</v>
      </c>
      <c r="C37" s="362" t="s">
        <v>1</v>
      </c>
      <c r="D37" s="363">
        <v>52</v>
      </c>
      <c r="E37" s="306">
        <v>5500</v>
      </c>
      <c r="F37" s="306">
        <f t="shared" si="2"/>
        <v>286000</v>
      </c>
      <c r="G37" s="690"/>
      <c r="H37" s="690"/>
    </row>
    <row r="38" spans="1:8" ht="24" customHeight="1">
      <c r="A38" s="807" t="s">
        <v>93</v>
      </c>
      <c r="B38" s="808"/>
      <c r="C38" s="808"/>
      <c r="D38" s="808"/>
      <c r="E38" s="809"/>
      <c r="F38" s="365">
        <f>SUM(F36:F37)</f>
        <v>4294000</v>
      </c>
      <c r="G38" s="690"/>
    </row>
    <row r="39" spans="1:8" ht="15" customHeight="1">
      <c r="A39" s="368"/>
      <c r="B39" s="369"/>
      <c r="C39" s="370"/>
      <c r="D39" s="395"/>
      <c r="E39" s="396"/>
      <c r="F39" s="396"/>
    </row>
    <row r="40" spans="1:8" ht="15" customHeight="1">
      <c r="A40" s="368"/>
      <c r="B40" s="369"/>
      <c r="C40" s="370"/>
      <c r="D40" s="395"/>
      <c r="E40" s="396"/>
      <c r="F40" s="396"/>
    </row>
    <row r="41" spans="1:8" ht="15" customHeight="1">
      <c r="A41" s="368"/>
      <c r="B41" s="369"/>
      <c r="C41" s="370"/>
      <c r="D41" s="395"/>
      <c r="E41" s="396"/>
      <c r="F41" s="396"/>
    </row>
    <row r="42" spans="1:8" ht="15" customHeight="1">
      <c r="A42" s="368"/>
      <c r="B42" s="369"/>
      <c r="C42" s="370"/>
      <c r="D42" s="395"/>
      <c r="E42" s="396"/>
      <c r="F42" s="396"/>
    </row>
    <row r="43" spans="1:8" ht="15" customHeight="1">
      <c r="A43" s="804" t="s">
        <v>241</v>
      </c>
      <c r="B43" s="804"/>
      <c r="C43" s="370"/>
      <c r="D43" s="395"/>
      <c r="E43" s="396"/>
      <c r="F43" s="396"/>
    </row>
    <row r="44" spans="1:8" ht="15" customHeight="1">
      <c r="A44" s="368"/>
      <c r="B44" s="369"/>
      <c r="C44" s="370"/>
      <c r="D44" s="395"/>
      <c r="E44" s="396"/>
      <c r="F44" s="396"/>
    </row>
    <row r="45" spans="1:8" s="356" customFormat="1" ht="18" customHeight="1">
      <c r="A45" s="358" t="s">
        <v>30</v>
      </c>
      <c r="B45" s="358" t="s">
        <v>31</v>
      </c>
      <c r="C45" s="358" t="s">
        <v>12</v>
      </c>
      <c r="D45" s="358" t="s">
        <v>32</v>
      </c>
      <c r="E45" s="359" t="s">
        <v>40</v>
      </c>
      <c r="F45" s="359" t="s">
        <v>33</v>
      </c>
      <c r="G45" s="690"/>
      <c r="H45" s="690"/>
    </row>
    <row r="46" spans="1:8" ht="25.5">
      <c r="A46" s="375" t="s">
        <v>11</v>
      </c>
      <c r="B46" s="383" t="s">
        <v>230</v>
      </c>
      <c r="C46" s="381" t="s">
        <v>2</v>
      </c>
      <c r="D46" s="378">
        <v>1.35</v>
      </c>
      <c r="E46" s="379">
        <v>1500000</v>
      </c>
      <c r="F46" s="281">
        <f>+D46*E46</f>
        <v>2025000.0000000002</v>
      </c>
    </row>
    <row r="47" spans="1:8" ht="25.5">
      <c r="A47" s="375" t="s">
        <v>13</v>
      </c>
      <c r="B47" s="383" t="s">
        <v>558</v>
      </c>
      <c r="C47" s="381" t="s">
        <v>1</v>
      </c>
      <c r="D47" s="348">
        <v>97.6</v>
      </c>
      <c r="E47" s="233">
        <v>18500</v>
      </c>
      <c r="F47" s="281">
        <f t="shared" ref="F47:F51" si="3">+D47*E47</f>
        <v>1805600</v>
      </c>
    </row>
    <row r="48" spans="1:8" ht="25.5">
      <c r="A48" s="375" t="s">
        <v>81</v>
      </c>
      <c r="B48" s="383" t="s">
        <v>557</v>
      </c>
      <c r="C48" s="381" t="s">
        <v>10</v>
      </c>
      <c r="D48" s="348">
        <v>20</v>
      </c>
      <c r="E48" s="233">
        <v>9600</v>
      </c>
      <c r="F48" s="281">
        <f t="shared" si="3"/>
        <v>192000</v>
      </c>
    </row>
    <row r="49" spans="1:8" ht="25.5" customHeight="1">
      <c r="A49" s="375" t="s">
        <v>69</v>
      </c>
      <c r="B49" s="383" t="s">
        <v>233</v>
      </c>
      <c r="C49" s="381" t="s">
        <v>1</v>
      </c>
      <c r="D49" s="348">
        <v>89.5</v>
      </c>
      <c r="E49" s="233">
        <v>24500</v>
      </c>
      <c r="F49" s="281">
        <f t="shared" si="3"/>
        <v>2192750</v>
      </c>
    </row>
    <row r="50" spans="1:8" s="384" customFormat="1" ht="18" customHeight="1">
      <c r="A50" s="360" t="s">
        <v>70</v>
      </c>
      <c r="B50" s="397" t="s">
        <v>232</v>
      </c>
      <c r="C50" s="381" t="s">
        <v>10</v>
      </c>
      <c r="D50" s="348">
        <v>88</v>
      </c>
      <c r="E50" s="283">
        <v>3500</v>
      </c>
      <c r="F50" s="282">
        <f t="shared" si="3"/>
        <v>308000</v>
      </c>
      <c r="G50" s="408"/>
      <c r="H50" s="408"/>
    </row>
    <row r="51" spans="1:8" s="384" customFormat="1" ht="18" customHeight="1">
      <c r="A51" s="360" t="s">
        <v>171</v>
      </c>
      <c r="B51" s="380" t="s">
        <v>76</v>
      </c>
      <c r="C51" s="362" t="s">
        <v>10</v>
      </c>
      <c r="D51" s="388">
        <v>12</v>
      </c>
      <c r="E51" s="282">
        <v>18500</v>
      </c>
      <c r="F51" s="282">
        <f t="shared" si="3"/>
        <v>222000</v>
      </c>
      <c r="G51" s="690"/>
      <c r="H51" s="408"/>
    </row>
    <row r="52" spans="1:8" ht="24" customHeight="1">
      <c r="A52" s="807" t="s">
        <v>234</v>
      </c>
      <c r="B52" s="808"/>
      <c r="C52" s="808"/>
      <c r="D52" s="808"/>
      <c r="E52" s="809"/>
      <c r="F52" s="365">
        <f>SUM(F46:F51)</f>
        <v>6745350</v>
      </c>
      <c r="G52" s="690"/>
    </row>
    <row r="53" spans="1:8" ht="15" customHeight="1">
      <c r="A53" s="368"/>
      <c r="B53" s="369"/>
      <c r="C53" s="370"/>
      <c r="D53" s="371"/>
      <c r="E53" s="396"/>
      <c r="F53" s="396"/>
    </row>
    <row r="54" spans="1:8" ht="15" customHeight="1">
      <c r="A54" s="804" t="s">
        <v>242</v>
      </c>
      <c r="B54" s="804"/>
      <c r="C54" s="370"/>
      <c r="D54" s="395"/>
      <c r="E54" s="396"/>
      <c r="F54" s="396"/>
    </row>
    <row r="55" spans="1:8" ht="15" customHeight="1">
      <c r="A55" s="722"/>
      <c r="B55" s="722"/>
      <c r="C55" s="370"/>
      <c r="D55" s="395"/>
      <c r="E55" s="396"/>
      <c r="F55" s="396"/>
    </row>
    <row r="56" spans="1:8" s="356" customFormat="1" ht="18" customHeight="1">
      <c r="A56" s="358" t="s">
        <v>30</v>
      </c>
      <c r="B56" s="358" t="s">
        <v>31</v>
      </c>
      <c r="C56" s="358" t="s">
        <v>12</v>
      </c>
      <c r="D56" s="358" t="s">
        <v>32</v>
      </c>
      <c r="E56" s="359" t="s">
        <v>40</v>
      </c>
      <c r="F56" s="359" t="s">
        <v>33</v>
      </c>
      <c r="G56" s="690"/>
      <c r="H56" s="690"/>
    </row>
    <row r="57" spans="1:8" ht="27" customHeight="1">
      <c r="A57" s="399" t="s">
        <v>14</v>
      </c>
      <c r="B57" s="383" t="s">
        <v>600</v>
      </c>
      <c r="C57" s="381" t="s">
        <v>12</v>
      </c>
      <c r="D57" s="400">
        <v>1</v>
      </c>
      <c r="E57" s="281">
        <v>465000</v>
      </c>
      <c r="F57" s="281">
        <f t="shared" ref="F57:F60" si="4">+D57*E57</f>
        <v>465000</v>
      </c>
    </row>
    <row r="58" spans="1:8" ht="27" customHeight="1">
      <c r="A58" s="399" t="s">
        <v>15</v>
      </c>
      <c r="B58" s="383" t="s">
        <v>353</v>
      </c>
      <c r="C58" s="381" t="s">
        <v>12</v>
      </c>
      <c r="D58" s="400">
        <v>1</v>
      </c>
      <c r="E58" s="281">
        <v>275000</v>
      </c>
      <c r="F58" s="281">
        <f t="shared" si="4"/>
        <v>275000</v>
      </c>
    </row>
    <row r="59" spans="1:8" ht="27" customHeight="1">
      <c r="A59" s="399" t="s">
        <v>20</v>
      </c>
      <c r="B59" s="383" t="s">
        <v>355</v>
      </c>
      <c r="C59" s="381" t="s">
        <v>12</v>
      </c>
      <c r="D59" s="400">
        <v>2</v>
      </c>
      <c r="E59" s="281">
        <v>250000</v>
      </c>
      <c r="F59" s="281">
        <f t="shared" si="4"/>
        <v>500000</v>
      </c>
    </row>
    <row r="60" spans="1:8" ht="27" customHeight="1">
      <c r="A60" s="399" t="s">
        <v>20</v>
      </c>
      <c r="B60" s="383" t="s">
        <v>356</v>
      </c>
      <c r="C60" s="381" t="s">
        <v>12</v>
      </c>
      <c r="D60" s="400">
        <v>2</v>
      </c>
      <c r="E60" s="281">
        <v>198000</v>
      </c>
      <c r="F60" s="281">
        <f t="shared" si="4"/>
        <v>396000</v>
      </c>
    </row>
    <row r="61" spans="1:8" ht="24" customHeight="1">
      <c r="A61" s="807" t="s">
        <v>95</v>
      </c>
      <c r="B61" s="808"/>
      <c r="C61" s="808"/>
      <c r="D61" s="808"/>
      <c r="E61" s="809"/>
      <c r="F61" s="365">
        <f>SUM(F58:F60)</f>
        <v>1171000</v>
      </c>
      <c r="G61" s="690"/>
    </row>
    <row r="62" spans="1:8" ht="15" customHeight="1">
      <c r="A62" s="722"/>
      <c r="B62" s="722"/>
      <c r="C62" s="370"/>
      <c r="D62" s="395"/>
      <c r="E62" s="396"/>
      <c r="F62" s="396"/>
    </row>
    <row r="63" spans="1:8" ht="15" customHeight="1">
      <c r="A63" s="804" t="s">
        <v>245</v>
      </c>
      <c r="B63" s="804"/>
      <c r="C63" s="370"/>
      <c r="D63" s="395"/>
      <c r="E63" s="396"/>
      <c r="F63" s="396"/>
    </row>
    <row r="64" spans="1:8" ht="15" customHeight="1">
      <c r="A64" s="722"/>
      <c r="B64" s="722"/>
      <c r="C64" s="370"/>
      <c r="D64" s="395"/>
      <c r="E64" s="396"/>
      <c r="F64" s="396"/>
    </row>
    <row r="65" spans="1:8" s="356" customFormat="1" ht="18" customHeight="1">
      <c r="A65" s="358" t="s">
        <v>30</v>
      </c>
      <c r="B65" s="358" t="s">
        <v>31</v>
      </c>
      <c r="C65" s="358" t="s">
        <v>12</v>
      </c>
      <c r="D65" s="358" t="s">
        <v>32</v>
      </c>
      <c r="E65" s="359" t="s">
        <v>40</v>
      </c>
      <c r="F65" s="359" t="s">
        <v>33</v>
      </c>
      <c r="G65" s="690"/>
      <c r="H65" s="690"/>
    </row>
    <row r="66" spans="1:8" ht="27" customHeight="1">
      <c r="A66" s="399" t="s">
        <v>21</v>
      </c>
      <c r="B66" s="383" t="s">
        <v>599</v>
      </c>
      <c r="C66" s="381" t="s">
        <v>1</v>
      </c>
      <c r="D66" s="400">
        <v>8.9</v>
      </c>
      <c r="E66" s="281">
        <v>160000</v>
      </c>
      <c r="F66" s="281">
        <f t="shared" ref="F66" si="5">+D66*E66</f>
        <v>1424000</v>
      </c>
    </row>
    <row r="67" spans="1:8" ht="24" customHeight="1">
      <c r="A67" s="807" t="s">
        <v>235</v>
      </c>
      <c r="B67" s="808"/>
      <c r="C67" s="808"/>
      <c r="D67" s="808"/>
      <c r="E67" s="809"/>
      <c r="F67" s="365">
        <f>SUM(F66:F66)</f>
        <v>1424000</v>
      </c>
      <c r="G67" s="690"/>
    </row>
    <row r="68" spans="1:8" ht="15" customHeight="1">
      <c r="A68" s="722"/>
      <c r="B68" s="722"/>
      <c r="C68" s="370"/>
      <c r="D68" s="395"/>
      <c r="E68" s="396"/>
      <c r="F68" s="396"/>
    </row>
    <row r="69" spans="1:8" ht="15" customHeight="1">
      <c r="A69" s="804" t="s">
        <v>248</v>
      </c>
      <c r="B69" s="804"/>
      <c r="C69" s="370"/>
      <c r="D69" s="395"/>
      <c r="E69" s="396"/>
      <c r="F69" s="396"/>
    </row>
    <row r="70" spans="1:8" ht="15" customHeight="1">
      <c r="A70" s="722"/>
      <c r="B70" s="722"/>
      <c r="C70" s="370"/>
      <c r="D70" s="395"/>
      <c r="E70" s="396"/>
      <c r="F70" s="396"/>
    </row>
    <row r="71" spans="1:8" s="356" customFormat="1" ht="18" customHeight="1">
      <c r="A71" s="358" t="s">
        <v>30</v>
      </c>
      <c r="B71" s="358" t="s">
        <v>31</v>
      </c>
      <c r="C71" s="358" t="s">
        <v>12</v>
      </c>
      <c r="D71" s="358" t="s">
        <v>32</v>
      </c>
      <c r="E71" s="359" t="s">
        <v>40</v>
      </c>
      <c r="F71" s="359" t="s">
        <v>33</v>
      </c>
      <c r="G71" s="690"/>
      <c r="H71" s="690"/>
    </row>
    <row r="72" spans="1:8" s="356" customFormat="1" ht="18" customHeight="1">
      <c r="A72" s="401" t="s">
        <v>173</v>
      </c>
      <c r="B72" s="402" t="s">
        <v>191</v>
      </c>
      <c r="C72" s="381" t="s">
        <v>1</v>
      </c>
      <c r="D72" s="406">
        <v>261.5</v>
      </c>
      <c r="E72" s="306">
        <v>1500</v>
      </c>
      <c r="F72" s="403">
        <f>D72*E72</f>
        <v>392250</v>
      </c>
      <c r="G72" s="690"/>
      <c r="H72" s="690"/>
    </row>
    <row r="73" spans="1:8" s="356" customFormat="1" ht="27" customHeight="1">
      <c r="A73" s="399" t="s">
        <v>174</v>
      </c>
      <c r="B73" s="404" t="s">
        <v>246</v>
      </c>
      <c r="C73" s="381" t="s">
        <v>1</v>
      </c>
      <c r="D73" s="381">
        <v>74</v>
      </c>
      <c r="E73" s="306">
        <v>4000</v>
      </c>
      <c r="F73" s="403">
        <f t="shared" ref="F73:F76" si="6">D73*E73</f>
        <v>296000</v>
      </c>
      <c r="G73" s="690"/>
      <c r="H73" s="690"/>
    </row>
    <row r="74" spans="1:8" s="356" customFormat="1" ht="27" customHeight="1">
      <c r="A74" s="399" t="s">
        <v>175</v>
      </c>
      <c r="B74" s="404" t="s">
        <v>247</v>
      </c>
      <c r="C74" s="381" t="s">
        <v>1</v>
      </c>
      <c r="D74" s="381">
        <v>186</v>
      </c>
      <c r="E74" s="306">
        <v>3000</v>
      </c>
      <c r="F74" s="403">
        <f t="shared" si="6"/>
        <v>558000</v>
      </c>
      <c r="G74" s="690"/>
      <c r="H74" s="690"/>
    </row>
    <row r="75" spans="1:8" ht="27" customHeight="1">
      <c r="A75" s="399" t="s">
        <v>176</v>
      </c>
      <c r="B75" s="380" t="s">
        <v>310</v>
      </c>
      <c r="C75" s="405" t="s">
        <v>1</v>
      </c>
      <c r="D75" s="406">
        <v>121.45</v>
      </c>
      <c r="E75" s="283">
        <v>6000</v>
      </c>
      <c r="F75" s="403">
        <f t="shared" si="6"/>
        <v>728700</v>
      </c>
    </row>
    <row r="76" spans="1:8" ht="27" customHeight="1">
      <c r="A76" s="399" t="s">
        <v>249</v>
      </c>
      <c r="B76" s="383" t="s">
        <v>117</v>
      </c>
      <c r="C76" s="362" t="s">
        <v>1</v>
      </c>
      <c r="D76" s="363">
        <v>4.9000000000000004</v>
      </c>
      <c r="E76" s="281">
        <v>32000</v>
      </c>
      <c r="F76" s="403">
        <f t="shared" si="6"/>
        <v>156800</v>
      </c>
    </row>
    <row r="77" spans="1:8" ht="24" customHeight="1">
      <c r="A77" s="807" t="s">
        <v>94</v>
      </c>
      <c r="B77" s="808"/>
      <c r="C77" s="808"/>
      <c r="D77" s="808"/>
      <c r="E77" s="809"/>
      <c r="F77" s="365">
        <f>SUM(F72:F76)</f>
        <v>2131750</v>
      </c>
    </row>
    <row r="78" spans="1:8" ht="15" customHeight="1"/>
    <row r="79" spans="1:8" ht="15" customHeight="1"/>
    <row r="80" spans="1:8" ht="15" customHeight="1"/>
    <row r="81" spans="1:8" ht="15" customHeight="1"/>
    <row r="82" spans="1:8" ht="15" customHeight="1"/>
    <row r="83" spans="1:8" ht="15" customHeight="1">
      <c r="A83" s="804" t="s">
        <v>250</v>
      </c>
      <c r="B83" s="804"/>
      <c r="C83" s="370"/>
      <c r="D83" s="395"/>
      <c r="E83" s="396"/>
      <c r="F83" s="396"/>
    </row>
    <row r="84" spans="1:8" ht="15" customHeight="1">
      <c r="A84" s="722"/>
      <c r="B84" s="722"/>
      <c r="C84" s="370"/>
      <c r="D84" s="395"/>
      <c r="E84" s="396"/>
      <c r="F84" s="396"/>
    </row>
    <row r="85" spans="1:8" s="356" customFormat="1" ht="18" customHeight="1">
      <c r="A85" s="358" t="s">
        <v>30</v>
      </c>
      <c r="B85" s="358" t="s">
        <v>31</v>
      </c>
      <c r="C85" s="358" t="s">
        <v>12</v>
      </c>
      <c r="D85" s="358" t="s">
        <v>32</v>
      </c>
      <c r="E85" s="359" t="s">
        <v>40</v>
      </c>
      <c r="F85" s="359" t="s">
        <v>33</v>
      </c>
      <c r="G85" s="690"/>
      <c r="H85" s="690"/>
    </row>
    <row r="86" spans="1:8" s="384" customFormat="1" ht="18.75" customHeight="1">
      <c r="A86" s="401" t="s">
        <v>26</v>
      </c>
      <c r="B86" s="380" t="s">
        <v>559</v>
      </c>
      <c r="C86" s="362" t="s">
        <v>129</v>
      </c>
      <c r="D86" s="407">
        <v>1</v>
      </c>
      <c r="E86" s="283">
        <v>250000</v>
      </c>
      <c r="F86" s="283">
        <f>+D86*E86</f>
        <v>250000</v>
      </c>
      <c r="G86" s="408"/>
      <c r="H86" s="408"/>
    </row>
    <row r="87" spans="1:8" ht="24" customHeight="1">
      <c r="A87" s="807" t="s">
        <v>172</v>
      </c>
      <c r="B87" s="808"/>
      <c r="C87" s="808"/>
      <c r="D87" s="808"/>
      <c r="E87" s="809"/>
      <c r="F87" s="365">
        <f>SUM(F86:F86)</f>
        <v>250000</v>
      </c>
    </row>
    <row r="88" spans="1:8" ht="15" customHeight="1"/>
    <row r="89" spans="1:8" ht="15" customHeight="1">
      <c r="A89" s="804" t="s">
        <v>252</v>
      </c>
      <c r="B89" s="804"/>
      <c r="C89" s="370"/>
      <c r="D89" s="395"/>
      <c r="E89" s="396"/>
      <c r="F89" s="396"/>
    </row>
    <row r="90" spans="1:8" ht="15" customHeight="1">
      <c r="A90" s="722"/>
      <c r="B90" s="722"/>
      <c r="C90" s="370"/>
      <c r="D90" s="395"/>
      <c r="E90" s="396"/>
      <c r="F90" s="396"/>
    </row>
    <row r="91" spans="1:8" s="356" customFormat="1" ht="18" customHeight="1">
      <c r="A91" s="358" t="s">
        <v>30</v>
      </c>
      <c r="B91" s="358" t="s">
        <v>31</v>
      </c>
      <c r="C91" s="358" t="s">
        <v>12</v>
      </c>
      <c r="D91" s="358" t="s">
        <v>32</v>
      </c>
      <c r="E91" s="359" t="s">
        <v>40</v>
      </c>
      <c r="F91" s="359" t="s">
        <v>33</v>
      </c>
      <c r="G91" s="690"/>
      <c r="H91" s="690"/>
    </row>
    <row r="92" spans="1:8" s="384" customFormat="1" ht="18" customHeight="1">
      <c r="A92" s="401" t="s">
        <v>264</v>
      </c>
      <c r="B92" s="383" t="s">
        <v>560</v>
      </c>
      <c r="C92" s="362" t="s">
        <v>129</v>
      </c>
      <c r="D92" s="407">
        <v>1</v>
      </c>
      <c r="E92" s="283">
        <v>500000</v>
      </c>
      <c r="F92" s="283">
        <f>+D92*E92</f>
        <v>500000</v>
      </c>
      <c r="G92" s="408"/>
      <c r="H92" s="408"/>
    </row>
    <row r="93" spans="1:8" ht="24" customHeight="1">
      <c r="A93" s="807" t="s">
        <v>178</v>
      </c>
      <c r="B93" s="808"/>
      <c r="C93" s="808"/>
      <c r="D93" s="808"/>
      <c r="E93" s="809"/>
      <c r="F93" s="365">
        <f>SUM(F92:F92)</f>
        <v>500000</v>
      </c>
    </row>
    <row r="94" spans="1:8">
      <c r="H94" s="690"/>
    </row>
    <row r="95" spans="1:8" ht="16.5">
      <c r="G95" s="411"/>
      <c r="H95" s="410"/>
    </row>
    <row r="96" spans="1:8" ht="15.75">
      <c r="A96" s="812" t="s">
        <v>181</v>
      </c>
      <c r="B96" s="812"/>
    </row>
    <row r="97" spans="1:8" ht="18" customHeight="1">
      <c r="A97" s="811" t="str">
        <f>+A4</f>
        <v>SERIE N° 2 : TERRASSEMENT</v>
      </c>
      <c r="B97" s="811"/>
      <c r="F97" s="357">
        <f>F9</f>
        <v>110700</v>
      </c>
    </row>
    <row r="98" spans="1:8" ht="18" customHeight="1">
      <c r="A98" s="811" t="str">
        <f>+A11</f>
        <v>SERIE N° 3 : BETONS ET MACONNERIES EN INFRASTRUCTURE ET SUPERSTRUCTURE</v>
      </c>
      <c r="B98" s="811"/>
      <c r="F98" s="357">
        <f>F23</f>
        <v>23854950</v>
      </c>
    </row>
    <row r="99" spans="1:8" ht="18" customHeight="1">
      <c r="A99" s="811" t="str">
        <f>+A26</f>
        <v>SERIE N° 5: ENDUIT</v>
      </c>
      <c r="B99" s="811"/>
      <c r="F99" s="357">
        <f>F31</f>
        <v>2017400</v>
      </c>
    </row>
    <row r="100" spans="1:8" ht="18" customHeight="1">
      <c r="A100" s="721" t="str">
        <f>A33</f>
        <v>SERIE N° 6: REVETEMENT</v>
      </c>
      <c r="B100" s="721"/>
      <c r="F100" s="357">
        <f>F38</f>
        <v>4294000</v>
      </c>
    </row>
    <row r="101" spans="1:8" ht="18" customHeight="1">
      <c r="A101" s="811" t="str">
        <f>+A43</f>
        <v xml:space="preserve">SERIE N° 7: CHARPENTE - COUVERTURE - PLAFONNAGE </v>
      </c>
      <c r="B101" s="811"/>
      <c r="F101" s="357">
        <f>F52</f>
        <v>6745350</v>
      </c>
    </row>
    <row r="102" spans="1:8" ht="18" customHeight="1">
      <c r="A102" s="811" t="str">
        <f>+A54</f>
        <v>SERIE N° 8: MENUISERIE BOIS</v>
      </c>
      <c r="B102" s="811"/>
      <c r="F102" s="357">
        <f>F61</f>
        <v>1171000</v>
      </c>
    </row>
    <row r="103" spans="1:8" ht="18" customHeight="1">
      <c r="A103" s="811" t="str">
        <f>A63</f>
        <v>SERIE N° 9: MENUISERIE METALLIQUE</v>
      </c>
      <c r="B103" s="811"/>
      <c r="F103" s="357">
        <f>F67</f>
        <v>1424000</v>
      </c>
    </row>
    <row r="104" spans="1:8" ht="18" customHeight="1">
      <c r="A104" s="811" t="str">
        <f>+A69</f>
        <v>SERIE N° 10: PEINTURE ET VITRERIE</v>
      </c>
      <c r="B104" s="811"/>
      <c r="F104" s="357">
        <f>F77</f>
        <v>2131750</v>
      </c>
    </row>
    <row r="105" spans="1:8" ht="18" customHeight="1">
      <c r="A105" s="811" t="str">
        <f>+A83</f>
        <v>SERIE N° 11: PLOMBERIE SANITAIRE</v>
      </c>
      <c r="B105" s="811"/>
      <c r="F105" s="357">
        <f>F87</f>
        <v>250000</v>
      </c>
    </row>
    <row r="106" spans="1:8" ht="18" customHeight="1">
      <c r="A106" s="811" t="str">
        <f>+A89</f>
        <v>SERIE N° 13: ELECTRICITE</v>
      </c>
      <c r="B106" s="811"/>
      <c r="F106" s="357">
        <f>F93</f>
        <v>500000</v>
      </c>
    </row>
    <row r="107" spans="1:8" ht="26.25" customHeight="1"/>
    <row r="108" spans="1:8" ht="20.25" customHeight="1">
      <c r="A108" s="836" t="s">
        <v>64</v>
      </c>
      <c r="B108" s="837"/>
      <c r="C108" s="837"/>
      <c r="D108" s="837"/>
      <c r="E108" s="838"/>
      <c r="F108" s="726">
        <f>SUM(F97:F107)</f>
        <v>42499150</v>
      </c>
      <c r="G108" s="411"/>
      <c r="H108" s="704"/>
    </row>
    <row r="110" spans="1:8" ht="27.75" customHeight="1">
      <c r="A110" s="839" t="s">
        <v>604</v>
      </c>
      <c r="B110" s="840"/>
      <c r="C110" s="840"/>
      <c r="D110" s="840"/>
      <c r="E110" s="840"/>
      <c r="F110" s="840"/>
    </row>
    <row r="111" spans="1:8" ht="18" customHeight="1">
      <c r="F111" s="410"/>
    </row>
    <row r="112" spans="1:8" ht="57.75" customHeight="1"/>
    <row r="113" spans="1:6" s="357" customFormat="1">
      <c r="A113" s="356"/>
      <c r="B113" s="353"/>
      <c r="C113" s="356"/>
      <c r="D113" s="356"/>
      <c r="E113" s="354"/>
      <c r="F113" s="411"/>
    </row>
    <row r="114" spans="1:6" s="357" customFormat="1">
      <c r="A114" s="356"/>
      <c r="B114" s="353"/>
      <c r="C114" s="356"/>
      <c r="D114" s="356"/>
      <c r="E114" s="354"/>
    </row>
  </sheetData>
  <mergeCells count="34">
    <mergeCell ref="A52:E52"/>
    <mergeCell ref="A1:F1"/>
    <mergeCell ref="A2:F2"/>
    <mergeCell ref="A4:B4"/>
    <mergeCell ref="A9:E9"/>
    <mergeCell ref="A11:D11"/>
    <mergeCell ref="A23:E23"/>
    <mergeCell ref="A26:B26"/>
    <mergeCell ref="A31:E31"/>
    <mergeCell ref="A33:B33"/>
    <mergeCell ref="A38:E38"/>
    <mergeCell ref="A43:B43"/>
    <mergeCell ref="A97:B97"/>
    <mergeCell ref="A54:B54"/>
    <mergeCell ref="A61:E61"/>
    <mergeCell ref="A63:B63"/>
    <mergeCell ref="A67:E67"/>
    <mergeCell ref="A69:B69"/>
    <mergeCell ref="A77:E77"/>
    <mergeCell ref="A83:B83"/>
    <mergeCell ref="A87:E87"/>
    <mergeCell ref="A89:B89"/>
    <mergeCell ref="A93:E93"/>
    <mergeCell ref="A96:B96"/>
    <mergeCell ref="A105:B105"/>
    <mergeCell ref="A106:B106"/>
    <mergeCell ref="A108:E108"/>
    <mergeCell ref="A110:F110"/>
    <mergeCell ref="A98:B98"/>
    <mergeCell ref="A99:B99"/>
    <mergeCell ref="A101:B101"/>
    <mergeCell ref="A102:B102"/>
    <mergeCell ref="A103:B103"/>
    <mergeCell ref="A104:B104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30"/>
  <sheetViews>
    <sheetView topLeftCell="A16" workbookViewId="0">
      <selection activeCell="I50" sqref="I50"/>
    </sheetView>
  </sheetViews>
  <sheetFormatPr baseColWidth="10" defaultRowHeight="12.75"/>
  <cols>
    <col min="1" max="1" width="8.7109375" style="690" customWidth="1"/>
    <col min="2" max="2" width="35" style="701" customWidth="1"/>
    <col min="3" max="3" width="10" style="356" customWidth="1"/>
    <col min="4" max="4" width="12" style="708" customWidth="1"/>
    <col min="5" max="6" width="14.5703125" style="357" customWidth="1"/>
    <col min="7" max="7" width="14.42578125" style="353" customWidth="1"/>
    <col min="8" max="8" width="12.5703125" style="354" bestFit="1" customWidth="1"/>
    <col min="9" max="9" width="11.42578125" style="354"/>
    <col min="10" max="10" width="11.42578125" style="353"/>
    <col min="11" max="11" width="11.42578125" style="354"/>
    <col min="12" max="16384" width="11.42578125" style="353"/>
  </cols>
  <sheetData>
    <row r="1" spans="1:11" ht="16.5" customHeight="1">
      <c r="A1" s="845" t="s">
        <v>592</v>
      </c>
      <c r="B1" s="846"/>
      <c r="C1" s="846"/>
      <c r="D1" s="846"/>
      <c r="E1" s="846"/>
      <c r="F1" s="847"/>
    </row>
    <row r="2" spans="1:11" ht="15" customHeight="1"/>
    <row r="3" spans="1:11" ht="15.75" customHeight="1">
      <c r="A3" s="359" t="s">
        <v>385</v>
      </c>
      <c r="B3" s="359" t="s">
        <v>34</v>
      </c>
      <c r="C3" s="358" t="s">
        <v>114</v>
      </c>
      <c r="D3" s="709" t="s">
        <v>32</v>
      </c>
      <c r="E3" s="359" t="s">
        <v>512</v>
      </c>
      <c r="F3" s="359" t="s">
        <v>33</v>
      </c>
    </row>
    <row r="4" spans="1:11" ht="15.75" customHeight="1">
      <c r="A4" s="364">
        <v>1</v>
      </c>
      <c r="B4" s="702" t="s">
        <v>514</v>
      </c>
      <c r="C4" s="362" t="s">
        <v>23</v>
      </c>
      <c r="D4" s="281">
        <v>4</v>
      </c>
      <c r="E4" s="281">
        <v>23000</v>
      </c>
      <c r="F4" s="281">
        <f>D4*E4</f>
        <v>92000</v>
      </c>
    </row>
    <row r="5" spans="1:11" ht="15.75" customHeight="1">
      <c r="A5" s="364">
        <v>2</v>
      </c>
      <c r="B5" s="702" t="s">
        <v>566</v>
      </c>
      <c r="C5" s="362" t="s">
        <v>23</v>
      </c>
      <c r="D5" s="281">
        <v>134</v>
      </c>
      <c r="E5" s="281">
        <v>25000</v>
      </c>
      <c r="F5" s="281">
        <f t="shared" ref="F5:F48" si="0">D5*E5</f>
        <v>3350000</v>
      </c>
    </row>
    <row r="6" spans="1:11" s="356" customFormat="1" ht="15.75" customHeight="1">
      <c r="A6" s="364">
        <v>3</v>
      </c>
      <c r="B6" s="702" t="s">
        <v>524</v>
      </c>
      <c r="C6" s="362" t="s">
        <v>23</v>
      </c>
      <c r="D6" s="364">
        <v>87</v>
      </c>
      <c r="E6" s="364">
        <v>27000</v>
      </c>
      <c r="F6" s="281">
        <f t="shared" si="0"/>
        <v>2349000</v>
      </c>
      <c r="G6" s="719"/>
      <c r="H6" s="720"/>
      <c r="I6" s="720"/>
      <c r="K6" s="720"/>
    </row>
    <row r="7" spans="1:11" s="356" customFormat="1" ht="15.75" customHeight="1">
      <c r="A7" s="364">
        <v>4</v>
      </c>
      <c r="B7" s="702" t="s">
        <v>42</v>
      </c>
      <c r="C7" s="362" t="s">
        <v>2</v>
      </c>
      <c r="D7" s="710">
        <v>24</v>
      </c>
      <c r="E7" s="364">
        <v>6500</v>
      </c>
      <c r="F7" s="281">
        <f t="shared" si="0"/>
        <v>156000</v>
      </c>
      <c r="H7" s="720"/>
      <c r="I7" s="720"/>
      <c r="K7" s="720"/>
    </row>
    <row r="8" spans="1:11" s="356" customFormat="1" ht="15.75" customHeight="1">
      <c r="A8" s="364">
        <v>5</v>
      </c>
      <c r="B8" s="702" t="s">
        <v>43</v>
      </c>
      <c r="C8" s="362" t="s">
        <v>2</v>
      </c>
      <c r="D8" s="710">
        <v>17.5</v>
      </c>
      <c r="E8" s="364">
        <v>30000</v>
      </c>
      <c r="F8" s="281">
        <f t="shared" si="0"/>
        <v>525000</v>
      </c>
      <c r="H8" s="720"/>
      <c r="I8" s="720"/>
      <c r="K8" s="720"/>
    </row>
    <row r="9" spans="1:11" ht="15.75" customHeight="1">
      <c r="A9" s="364">
        <v>6</v>
      </c>
      <c r="B9" s="702" t="s">
        <v>38</v>
      </c>
      <c r="C9" s="362" t="s">
        <v>2</v>
      </c>
      <c r="D9" s="711">
        <v>10.5</v>
      </c>
      <c r="E9" s="281">
        <v>40000</v>
      </c>
      <c r="F9" s="281">
        <f t="shared" si="0"/>
        <v>420000</v>
      </c>
    </row>
    <row r="10" spans="1:11" ht="15.75" customHeight="1">
      <c r="A10" s="364">
        <v>7</v>
      </c>
      <c r="B10" s="702" t="s">
        <v>44</v>
      </c>
      <c r="C10" s="362" t="s">
        <v>12</v>
      </c>
      <c r="D10" s="281">
        <v>990</v>
      </c>
      <c r="E10" s="281">
        <v>400</v>
      </c>
      <c r="F10" s="281">
        <f t="shared" si="0"/>
        <v>396000</v>
      </c>
    </row>
    <row r="11" spans="1:11" ht="15.75" customHeight="1">
      <c r="A11" s="364">
        <v>8</v>
      </c>
      <c r="B11" s="702" t="s">
        <v>313</v>
      </c>
      <c r="C11" s="362" t="s">
        <v>2</v>
      </c>
      <c r="D11" s="711">
        <v>5</v>
      </c>
      <c r="E11" s="281">
        <v>40000</v>
      </c>
      <c r="F11" s="281">
        <f t="shared" si="0"/>
        <v>200000</v>
      </c>
    </row>
    <row r="12" spans="1:11" ht="15.75" customHeight="1">
      <c r="A12" s="364">
        <v>9</v>
      </c>
      <c r="B12" s="702" t="s">
        <v>35</v>
      </c>
      <c r="C12" s="362" t="s">
        <v>37</v>
      </c>
      <c r="D12" s="281">
        <v>154</v>
      </c>
      <c r="E12" s="281">
        <v>7000</v>
      </c>
      <c r="F12" s="281">
        <f t="shared" si="0"/>
        <v>1078000</v>
      </c>
    </row>
    <row r="13" spans="1:11" s="356" customFormat="1" ht="15.75" customHeight="1">
      <c r="A13" s="364">
        <v>10</v>
      </c>
      <c r="B13" s="702" t="s">
        <v>36</v>
      </c>
      <c r="C13" s="362" t="s">
        <v>37</v>
      </c>
      <c r="D13" s="364">
        <v>50</v>
      </c>
      <c r="E13" s="364">
        <v>11300</v>
      </c>
      <c r="F13" s="281">
        <f t="shared" si="0"/>
        <v>565000</v>
      </c>
      <c r="H13" s="720"/>
      <c r="I13" s="720"/>
      <c r="K13" s="720"/>
    </row>
    <row r="14" spans="1:11" ht="15.75" customHeight="1">
      <c r="A14" s="364">
        <v>11</v>
      </c>
      <c r="B14" s="702" t="s">
        <v>46</v>
      </c>
      <c r="C14" s="362" t="s">
        <v>37</v>
      </c>
      <c r="D14" s="281">
        <v>25</v>
      </c>
      <c r="E14" s="281">
        <v>17300</v>
      </c>
      <c r="F14" s="281">
        <f t="shared" si="0"/>
        <v>432500</v>
      </c>
    </row>
    <row r="15" spans="1:11" ht="15.75" customHeight="1">
      <c r="A15" s="364">
        <v>12</v>
      </c>
      <c r="B15" s="702" t="s">
        <v>47</v>
      </c>
      <c r="C15" s="362" t="s">
        <v>37</v>
      </c>
      <c r="D15" s="281">
        <v>7</v>
      </c>
      <c r="E15" s="281">
        <v>25200</v>
      </c>
      <c r="F15" s="281">
        <f t="shared" si="0"/>
        <v>176400</v>
      </c>
    </row>
    <row r="16" spans="1:11" s="384" customFormat="1" ht="15.75" customHeight="1">
      <c r="A16" s="364">
        <v>13</v>
      </c>
      <c r="B16" s="702" t="s">
        <v>45</v>
      </c>
      <c r="C16" s="362" t="s">
        <v>8</v>
      </c>
      <c r="D16" s="282">
        <v>30</v>
      </c>
      <c r="E16" s="282">
        <v>4000</v>
      </c>
      <c r="F16" s="281">
        <f t="shared" si="0"/>
        <v>120000</v>
      </c>
      <c r="H16" s="385"/>
      <c r="I16" s="385"/>
      <c r="K16" s="385"/>
    </row>
    <row r="17" spans="1:11" s="384" customFormat="1" ht="15.75" customHeight="1">
      <c r="A17" s="364">
        <v>14</v>
      </c>
      <c r="B17" s="702" t="s">
        <v>567</v>
      </c>
      <c r="C17" s="362" t="s">
        <v>12</v>
      </c>
      <c r="D17" s="282">
        <v>277</v>
      </c>
      <c r="E17" s="282">
        <v>2000</v>
      </c>
      <c r="F17" s="281">
        <f t="shared" si="0"/>
        <v>554000</v>
      </c>
      <c r="H17" s="385"/>
      <c r="I17" s="385"/>
      <c r="K17" s="385"/>
    </row>
    <row r="18" spans="1:11" s="384" customFormat="1" ht="15.75" customHeight="1">
      <c r="A18" s="364">
        <v>15</v>
      </c>
      <c r="B18" s="702" t="s">
        <v>579</v>
      </c>
      <c r="C18" s="362" t="s">
        <v>8</v>
      </c>
      <c r="D18" s="282">
        <v>6</v>
      </c>
      <c r="E18" s="282">
        <v>5000</v>
      </c>
      <c r="F18" s="281">
        <f t="shared" si="0"/>
        <v>30000</v>
      </c>
      <c r="H18" s="385"/>
      <c r="I18" s="385"/>
      <c r="K18" s="385"/>
    </row>
    <row r="19" spans="1:11" s="384" customFormat="1" ht="15.75" customHeight="1">
      <c r="A19" s="364">
        <v>16</v>
      </c>
      <c r="B19" s="702" t="s">
        <v>186</v>
      </c>
      <c r="C19" s="362" t="s">
        <v>8</v>
      </c>
      <c r="D19" s="282">
        <v>10</v>
      </c>
      <c r="E19" s="282">
        <v>5000</v>
      </c>
      <c r="F19" s="281">
        <f t="shared" si="0"/>
        <v>50000</v>
      </c>
      <c r="H19" s="385"/>
      <c r="I19" s="385"/>
      <c r="K19" s="385"/>
    </row>
    <row r="20" spans="1:11" s="384" customFormat="1" ht="15.75" customHeight="1">
      <c r="A20" s="364">
        <v>17</v>
      </c>
      <c r="B20" s="702" t="s">
        <v>189</v>
      </c>
      <c r="C20" s="362" t="s">
        <v>8</v>
      </c>
      <c r="D20" s="282">
        <v>6</v>
      </c>
      <c r="E20" s="282">
        <v>5000</v>
      </c>
      <c r="F20" s="281">
        <f t="shared" si="0"/>
        <v>30000</v>
      </c>
      <c r="H20" s="385"/>
      <c r="I20" s="385"/>
      <c r="K20" s="385"/>
    </row>
    <row r="21" spans="1:11" s="384" customFormat="1" ht="15.75" customHeight="1">
      <c r="A21" s="364">
        <v>18</v>
      </c>
      <c r="B21" s="702" t="s">
        <v>188</v>
      </c>
      <c r="C21" s="362" t="s">
        <v>8</v>
      </c>
      <c r="D21" s="282">
        <v>18</v>
      </c>
      <c r="E21" s="282">
        <v>5000</v>
      </c>
      <c r="F21" s="281">
        <f t="shared" si="0"/>
        <v>90000</v>
      </c>
      <c r="H21" s="385"/>
      <c r="I21" s="385"/>
      <c r="K21" s="385"/>
    </row>
    <row r="22" spans="1:11" s="384" customFormat="1" ht="15.75" customHeight="1">
      <c r="A22" s="364">
        <v>19</v>
      </c>
      <c r="B22" s="702" t="s">
        <v>568</v>
      </c>
      <c r="C22" s="362" t="s">
        <v>12</v>
      </c>
      <c r="D22" s="282">
        <v>13200</v>
      </c>
      <c r="E22" s="282">
        <v>70</v>
      </c>
      <c r="F22" s="281">
        <f t="shared" si="0"/>
        <v>924000</v>
      </c>
      <c r="H22" s="385"/>
      <c r="I22" s="385"/>
      <c r="K22" s="385"/>
    </row>
    <row r="23" spans="1:11" s="384" customFormat="1" ht="15.75" customHeight="1">
      <c r="A23" s="364">
        <v>20</v>
      </c>
      <c r="B23" s="702" t="s">
        <v>277</v>
      </c>
      <c r="C23" s="362" t="s">
        <v>12</v>
      </c>
      <c r="D23" s="282">
        <v>40</v>
      </c>
      <c r="E23" s="282">
        <v>7000</v>
      </c>
      <c r="F23" s="281">
        <f t="shared" si="0"/>
        <v>280000</v>
      </c>
      <c r="H23" s="385"/>
      <c r="I23" s="385"/>
      <c r="K23" s="385"/>
    </row>
    <row r="24" spans="1:11" s="384" customFormat="1" ht="15.75" customHeight="1">
      <c r="A24" s="364">
        <v>21</v>
      </c>
      <c r="B24" s="702" t="s">
        <v>569</v>
      </c>
      <c r="C24" s="362" t="s">
        <v>12</v>
      </c>
      <c r="D24" s="282">
        <v>1110</v>
      </c>
      <c r="E24" s="282">
        <v>1620</v>
      </c>
      <c r="F24" s="281">
        <f t="shared" si="0"/>
        <v>1798200</v>
      </c>
      <c r="H24" s="385"/>
      <c r="I24" s="385"/>
      <c r="K24" s="385"/>
    </row>
    <row r="25" spans="1:11" s="384" customFormat="1" ht="15.75" customHeight="1">
      <c r="A25" s="364">
        <v>22</v>
      </c>
      <c r="B25" s="702" t="s">
        <v>570</v>
      </c>
      <c r="C25" s="362" t="s">
        <v>12</v>
      </c>
      <c r="D25" s="282">
        <v>0</v>
      </c>
      <c r="E25" s="282">
        <v>40000</v>
      </c>
      <c r="F25" s="281">
        <f t="shared" si="0"/>
        <v>0</v>
      </c>
      <c r="H25" s="385"/>
      <c r="I25" s="385"/>
      <c r="K25" s="385"/>
    </row>
    <row r="26" spans="1:11" s="384" customFormat="1" ht="15.75" customHeight="1">
      <c r="A26" s="364">
        <v>23</v>
      </c>
      <c r="B26" s="702" t="s">
        <v>571</v>
      </c>
      <c r="C26" s="362" t="s">
        <v>12</v>
      </c>
      <c r="D26" s="282"/>
      <c r="E26" s="282">
        <v>25000</v>
      </c>
      <c r="F26" s="281">
        <f t="shared" si="0"/>
        <v>0</v>
      </c>
      <c r="H26" s="385"/>
      <c r="I26" s="385"/>
      <c r="K26" s="385"/>
    </row>
    <row r="27" spans="1:11" s="384" customFormat="1" ht="15.75" customHeight="1">
      <c r="A27" s="364">
        <v>24</v>
      </c>
      <c r="B27" s="702" t="s">
        <v>572</v>
      </c>
      <c r="C27" s="362" t="s">
        <v>12</v>
      </c>
      <c r="D27" s="282">
        <v>10</v>
      </c>
      <c r="E27" s="282">
        <v>10000</v>
      </c>
      <c r="F27" s="281">
        <f t="shared" si="0"/>
        <v>100000</v>
      </c>
      <c r="H27" s="385"/>
      <c r="I27" s="385"/>
      <c r="K27" s="385"/>
    </row>
    <row r="28" spans="1:11" ht="15.75" customHeight="1">
      <c r="A28" s="364">
        <v>25</v>
      </c>
      <c r="B28" s="702" t="s">
        <v>573</v>
      </c>
      <c r="C28" s="362" t="s">
        <v>12</v>
      </c>
      <c r="D28" s="281">
        <v>300</v>
      </c>
      <c r="E28" s="281">
        <v>150</v>
      </c>
      <c r="F28" s="281">
        <f t="shared" si="0"/>
        <v>45000</v>
      </c>
    </row>
    <row r="29" spans="1:11" ht="15.75" customHeight="1">
      <c r="A29" s="364">
        <v>26</v>
      </c>
      <c r="B29" s="702" t="s">
        <v>574</v>
      </c>
      <c r="C29" s="362" t="s">
        <v>12</v>
      </c>
      <c r="D29" s="281">
        <v>300</v>
      </c>
      <c r="E29" s="281">
        <v>250</v>
      </c>
      <c r="F29" s="281">
        <f t="shared" si="0"/>
        <v>75000</v>
      </c>
    </row>
    <row r="30" spans="1:11" ht="15.75" customHeight="1">
      <c r="A30" s="364">
        <v>27</v>
      </c>
      <c r="B30" s="702" t="s">
        <v>575</v>
      </c>
      <c r="C30" s="362" t="s">
        <v>12</v>
      </c>
      <c r="D30" s="281">
        <v>300</v>
      </c>
      <c r="E30" s="281">
        <v>100</v>
      </c>
      <c r="F30" s="281">
        <f t="shared" si="0"/>
        <v>30000</v>
      </c>
    </row>
    <row r="31" spans="1:11" ht="15.75" customHeight="1">
      <c r="A31" s="364">
        <v>28</v>
      </c>
      <c r="B31" s="702" t="s">
        <v>576</v>
      </c>
      <c r="C31" s="362" t="s">
        <v>12</v>
      </c>
      <c r="D31" s="281">
        <v>300</v>
      </c>
      <c r="E31" s="281">
        <v>50</v>
      </c>
      <c r="F31" s="281">
        <f t="shared" si="0"/>
        <v>15000</v>
      </c>
    </row>
    <row r="32" spans="1:11" ht="15.75" customHeight="1">
      <c r="A32" s="364">
        <v>29</v>
      </c>
      <c r="B32" s="702" t="s">
        <v>577</v>
      </c>
      <c r="C32" s="362" t="s">
        <v>585</v>
      </c>
      <c r="D32" s="281">
        <v>30</v>
      </c>
      <c r="E32" s="281">
        <v>44000</v>
      </c>
      <c r="F32" s="281">
        <f t="shared" si="0"/>
        <v>1320000</v>
      </c>
    </row>
    <row r="33" spans="1:6" ht="15.75" customHeight="1">
      <c r="A33" s="364">
        <v>30</v>
      </c>
      <c r="B33" s="702" t="s">
        <v>578</v>
      </c>
      <c r="C33" s="362" t="s">
        <v>585</v>
      </c>
      <c r="D33" s="281">
        <v>6</v>
      </c>
      <c r="E33" s="281">
        <v>25000</v>
      </c>
      <c r="F33" s="281">
        <f t="shared" si="0"/>
        <v>150000</v>
      </c>
    </row>
    <row r="34" spans="1:6" ht="15.75" customHeight="1">
      <c r="A34" s="364">
        <v>31</v>
      </c>
      <c r="B34" s="702" t="s">
        <v>595</v>
      </c>
      <c r="C34" s="362" t="s">
        <v>12</v>
      </c>
      <c r="D34" s="281">
        <v>1</v>
      </c>
      <c r="E34" s="281">
        <v>280000</v>
      </c>
      <c r="F34" s="281">
        <f t="shared" si="0"/>
        <v>280000</v>
      </c>
    </row>
    <row r="35" spans="1:6" ht="15.75" customHeight="1">
      <c r="A35" s="364">
        <v>32</v>
      </c>
      <c r="B35" s="702" t="s">
        <v>580</v>
      </c>
      <c r="C35" s="362" t="s">
        <v>12</v>
      </c>
      <c r="D35" s="281">
        <v>1</v>
      </c>
      <c r="E35" s="281">
        <v>200000</v>
      </c>
      <c r="F35" s="281">
        <f t="shared" si="0"/>
        <v>200000</v>
      </c>
    </row>
    <row r="36" spans="1:6" ht="15.75" customHeight="1">
      <c r="A36" s="364">
        <v>33</v>
      </c>
      <c r="B36" s="702" t="s">
        <v>596</v>
      </c>
      <c r="C36" s="362" t="s">
        <v>12</v>
      </c>
      <c r="D36" s="281">
        <v>2</v>
      </c>
      <c r="E36" s="281">
        <v>120000</v>
      </c>
      <c r="F36" s="281">
        <f t="shared" si="0"/>
        <v>240000</v>
      </c>
    </row>
    <row r="37" spans="1:6" ht="15.75" customHeight="1">
      <c r="A37" s="364">
        <v>34</v>
      </c>
      <c r="B37" s="702" t="s">
        <v>597</v>
      </c>
      <c r="C37" s="362" t="s">
        <v>12</v>
      </c>
      <c r="D37" s="281">
        <v>2</v>
      </c>
      <c r="E37" s="281">
        <v>100000</v>
      </c>
      <c r="F37" s="281">
        <f t="shared" ref="F37" si="1">D37*E37</f>
        <v>200000</v>
      </c>
    </row>
    <row r="38" spans="1:6" ht="15.75" customHeight="1">
      <c r="A38" s="364">
        <v>35</v>
      </c>
      <c r="B38" s="702" t="s">
        <v>598</v>
      </c>
      <c r="C38" s="362" t="s">
        <v>1</v>
      </c>
      <c r="D38" s="711">
        <v>7.91</v>
      </c>
      <c r="E38" s="281">
        <v>140000</v>
      </c>
      <c r="F38" s="281">
        <f t="shared" si="0"/>
        <v>1107400</v>
      </c>
    </row>
    <row r="39" spans="1:6" ht="15.75" customHeight="1">
      <c r="A39" s="364">
        <v>36</v>
      </c>
      <c r="B39" s="702" t="s">
        <v>581</v>
      </c>
      <c r="C39" s="362" t="s">
        <v>8</v>
      </c>
      <c r="D39" s="281">
        <v>150</v>
      </c>
      <c r="E39" s="281">
        <v>3000</v>
      </c>
      <c r="F39" s="281">
        <f t="shared" si="0"/>
        <v>450000</v>
      </c>
    </row>
    <row r="40" spans="1:6" ht="15.75" customHeight="1">
      <c r="A40" s="364">
        <v>37</v>
      </c>
      <c r="B40" s="702" t="s">
        <v>582</v>
      </c>
      <c r="C40" s="362" t="s">
        <v>8</v>
      </c>
      <c r="D40" s="281">
        <v>25</v>
      </c>
      <c r="E40" s="281">
        <v>4000</v>
      </c>
      <c r="F40" s="281">
        <f t="shared" si="0"/>
        <v>100000</v>
      </c>
    </row>
    <row r="41" spans="1:6" ht="15.75" customHeight="1">
      <c r="A41" s="364">
        <v>38</v>
      </c>
      <c r="B41" s="702" t="s">
        <v>24</v>
      </c>
      <c r="C41" s="362" t="s">
        <v>8</v>
      </c>
      <c r="D41" s="281">
        <v>25</v>
      </c>
      <c r="E41" s="281">
        <v>18000</v>
      </c>
      <c r="F41" s="281">
        <f t="shared" si="0"/>
        <v>450000</v>
      </c>
    </row>
    <row r="42" spans="1:6" ht="15.75" customHeight="1">
      <c r="A42" s="364">
        <v>39</v>
      </c>
      <c r="B42" s="702" t="s">
        <v>185</v>
      </c>
      <c r="C42" s="362" t="s">
        <v>12</v>
      </c>
      <c r="D42" s="281">
        <v>4</v>
      </c>
      <c r="E42" s="281">
        <v>5000</v>
      </c>
      <c r="F42" s="281">
        <f t="shared" si="0"/>
        <v>20000</v>
      </c>
    </row>
    <row r="43" spans="1:6" ht="15.75" customHeight="1">
      <c r="A43" s="364">
        <v>40</v>
      </c>
      <c r="B43" s="702" t="s">
        <v>583</v>
      </c>
      <c r="C43" s="362" t="s">
        <v>12</v>
      </c>
      <c r="D43" s="281">
        <v>2</v>
      </c>
      <c r="E43" s="281">
        <v>3500</v>
      </c>
      <c r="F43" s="281">
        <f t="shared" si="0"/>
        <v>7000</v>
      </c>
    </row>
    <row r="44" spans="1:6" ht="15.75" customHeight="1">
      <c r="A44" s="364">
        <v>41</v>
      </c>
      <c r="B44" s="702" t="s">
        <v>584</v>
      </c>
      <c r="C44" s="362" t="s">
        <v>12</v>
      </c>
      <c r="D44" s="281">
        <v>4</v>
      </c>
      <c r="E44" s="281">
        <v>3000</v>
      </c>
      <c r="F44" s="281">
        <f t="shared" si="0"/>
        <v>12000</v>
      </c>
    </row>
    <row r="45" spans="1:6" ht="15.75" customHeight="1">
      <c r="A45" s="364">
        <v>42</v>
      </c>
      <c r="B45" s="702" t="s">
        <v>89</v>
      </c>
      <c r="C45" s="362" t="s">
        <v>116</v>
      </c>
      <c r="D45" s="281">
        <v>10</v>
      </c>
      <c r="E45" s="281">
        <v>4000</v>
      </c>
      <c r="F45" s="281">
        <f t="shared" si="0"/>
        <v>40000</v>
      </c>
    </row>
    <row r="46" spans="1:6" ht="15.75" customHeight="1">
      <c r="A46" s="364">
        <v>43</v>
      </c>
      <c r="B46" s="702" t="s">
        <v>118</v>
      </c>
      <c r="C46" s="362" t="s">
        <v>1</v>
      </c>
      <c r="D46" s="711">
        <v>4.9000000000000004</v>
      </c>
      <c r="E46" s="281">
        <v>24000</v>
      </c>
      <c r="F46" s="281">
        <f t="shared" si="0"/>
        <v>117600.00000000001</v>
      </c>
    </row>
    <row r="47" spans="1:6" ht="15.75" customHeight="1">
      <c r="A47" s="364">
        <v>44</v>
      </c>
      <c r="B47" s="702" t="s">
        <v>560</v>
      </c>
      <c r="C47" s="362" t="s">
        <v>129</v>
      </c>
      <c r="D47" s="281">
        <v>1</v>
      </c>
      <c r="E47" s="281">
        <v>250000</v>
      </c>
      <c r="F47" s="281">
        <f t="shared" si="0"/>
        <v>250000</v>
      </c>
    </row>
    <row r="48" spans="1:6" ht="15.75" customHeight="1">
      <c r="A48" s="364">
        <v>45</v>
      </c>
      <c r="B48" s="702" t="s">
        <v>559</v>
      </c>
      <c r="C48" s="362" t="s">
        <v>129</v>
      </c>
      <c r="D48" s="281">
        <v>1</v>
      </c>
      <c r="E48" s="281">
        <v>150000</v>
      </c>
      <c r="F48" s="281">
        <f t="shared" si="0"/>
        <v>150000</v>
      </c>
    </row>
    <row r="49" spans="1:11" ht="15.75" customHeight="1">
      <c r="D49" s="848" t="s">
        <v>586</v>
      </c>
      <c r="E49" s="849"/>
      <c r="F49" s="281">
        <f>SUM(F4:F48)</f>
        <v>18975100</v>
      </c>
    </row>
    <row r="50" spans="1:11" s="356" customFormat="1" ht="15.75" customHeight="1">
      <c r="A50" s="690"/>
      <c r="B50" s="701"/>
      <c r="D50" s="848" t="s">
        <v>587</v>
      </c>
      <c r="E50" s="849"/>
      <c r="F50" s="281">
        <v>3000000</v>
      </c>
      <c r="H50" s="720"/>
      <c r="I50" s="720"/>
      <c r="K50" s="720"/>
    </row>
    <row r="51" spans="1:11" s="356" customFormat="1" ht="15.75" customHeight="1">
      <c r="A51" s="690"/>
      <c r="B51" s="701"/>
      <c r="D51" s="848" t="s">
        <v>588</v>
      </c>
      <c r="E51" s="849"/>
      <c r="F51" s="281">
        <v>4000000</v>
      </c>
      <c r="H51" s="720"/>
      <c r="I51" s="720"/>
      <c r="K51" s="720"/>
    </row>
    <row r="52" spans="1:11" s="356" customFormat="1" ht="15.75" customHeight="1">
      <c r="A52" s="703"/>
      <c r="B52" s="701"/>
      <c r="D52" s="848" t="s">
        <v>589</v>
      </c>
      <c r="E52" s="849"/>
      <c r="F52" s="364">
        <v>2000000</v>
      </c>
      <c r="H52" s="720"/>
      <c r="I52" s="720"/>
      <c r="K52" s="720"/>
    </row>
    <row r="53" spans="1:11" ht="15.75" customHeight="1">
      <c r="D53" s="843" t="s">
        <v>64</v>
      </c>
      <c r="E53" s="844"/>
      <c r="F53" s="715">
        <f>SUM(F49:F52)</f>
        <v>27975100</v>
      </c>
    </row>
    <row r="54" spans="1:11" ht="15.75" customHeight="1">
      <c r="D54" s="841" t="s">
        <v>590</v>
      </c>
      <c r="E54" s="842"/>
      <c r="F54" s="692">
        <v>34500445</v>
      </c>
    </row>
    <row r="55" spans="1:11" ht="15.75" customHeight="1">
      <c r="D55" s="843" t="s">
        <v>591</v>
      </c>
      <c r="E55" s="844"/>
      <c r="F55" s="715">
        <f>+F54-F53</f>
        <v>6525345</v>
      </c>
    </row>
    <row r="56" spans="1:11" s="356" customFormat="1" ht="15.75" customHeight="1">
      <c r="A56" s="690"/>
      <c r="B56" s="701"/>
      <c r="D56" s="712"/>
      <c r="E56" s="690"/>
      <c r="F56" s="690"/>
      <c r="H56" s="720"/>
      <c r="I56" s="720"/>
      <c r="K56" s="720"/>
    </row>
    <row r="57" spans="1:11" s="356" customFormat="1" ht="18" customHeight="1">
      <c r="A57" s="690"/>
      <c r="B57" s="701"/>
      <c r="D57" s="712"/>
      <c r="E57" s="690"/>
      <c r="F57" s="690"/>
      <c r="H57" s="720"/>
      <c r="I57" s="720"/>
      <c r="K57" s="720"/>
    </row>
    <row r="58" spans="1:11" s="356" customFormat="1" ht="18" customHeight="1">
      <c r="A58" s="690"/>
      <c r="B58" s="701"/>
      <c r="D58" s="712"/>
      <c r="E58" s="690"/>
      <c r="F58" s="690"/>
      <c r="H58" s="720"/>
      <c r="I58" s="720"/>
      <c r="K58" s="720"/>
    </row>
    <row r="59" spans="1:11" ht="18" customHeight="1">
      <c r="A59" s="703"/>
    </row>
    <row r="60" spans="1:11" ht="18" customHeight="1"/>
    <row r="61" spans="1:11" ht="18" customHeight="1"/>
    <row r="62" spans="1:11" ht="18" customHeight="1"/>
    <row r="63" spans="1:11" ht="18" customHeight="1"/>
    <row r="64" spans="1:11" ht="18" customHeight="1"/>
    <row r="65" spans="1:11" ht="18" customHeight="1"/>
    <row r="66" spans="1:11" s="356" customFormat="1" ht="18" customHeight="1">
      <c r="A66" s="690"/>
      <c r="B66" s="701"/>
      <c r="D66" s="712"/>
      <c r="E66" s="690"/>
      <c r="F66" s="690"/>
      <c r="H66" s="720"/>
      <c r="I66" s="720"/>
      <c r="K66" s="720"/>
    </row>
    <row r="70" spans="1:11" ht="25.5" customHeight="1"/>
    <row r="71" spans="1:11" s="384" customFormat="1" ht="18" customHeight="1">
      <c r="A71" s="690"/>
      <c r="B71" s="701"/>
      <c r="C71" s="356"/>
      <c r="D71" s="713"/>
      <c r="E71" s="408"/>
      <c r="F71" s="408"/>
      <c r="H71" s="385"/>
      <c r="I71" s="385"/>
      <c r="K71" s="385"/>
    </row>
    <row r="72" spans="1:11" s="384" customFormat="1" ht="18" customHeight="1">
      <c r="A72" s="703"/>
      <c r="B72" s="701"/>
      <c r="C72" s="356"/>
      <c r="D72" s="713"/>
      <c r="E72" s="408"/>
      <c r="F72" s="408"/>
      <c r="H72" s="385"/>
      <c r="I72" s="385"/>
      <c r="K72" s="385"/>
    </row>
    <row r="73" spans="1:11" ht="24" customHeight="1">
      <c r="A73" s="703"/>
    </row>
    <row r="74" spans="1:11" ht="15" customHeight="1"/>
    <row r="75" spans="1:11" ht="15" customHeight="1"/>
    <row r="76" spans="1:11" ht="15" customHeight="1"/>
    <row r="77" spans="1:11" s="356" customFormat="1" ht="18" customHeight="1">
      <c r="A77" s="690"/>
      <c r="B77" s="701"/>
      <c r="D77" s="712"/>
      <c r="E77" s="690"/>
      <c r="F77" s="690"/>
      <c r="H77" s="720"/>
      <c r="I77" s="720"/>
      <c r="K77" s="720"/>
    </row>
    <row r="78" spans="1:11" ht="27" customHeight="1"/>
    <row r="79" spans="1:11" ht="27" customHeight="1"/>
    <row r="80" spans="1:11" ht="27" customHeight="1"/>
    <row r="81" spans="1:11" ht="24" customHeight="1">
      <c r="A81" s="703"/>
    </row>
    <row r="82" spans="1:11" ht="15" customHeight="1"/>
    <row r="83" spans="1:11" ht="15" customHeight="1"/>
    <row r="84" spans="1:11" ht="15" customHeight="1"/>
    <row r="85" spans="1:11" s="356" customFormat="1" ht="18" customHeight="1">
      <c r="A85" s="690"/>
      <c r="B85" s="701"/>
      <c r="D85" s="712"/>
      <c r="E85" s="690"/>
      <c r="F85" s="690"/>
      <c r="H85" s="720"/>
      <c r="I85" s="720"/>
      <c r="K85" s="720"/>
    </row>
    <row r="86" spans="1:11" ht="27" customHeight="1"/>
    <row r="87" spans="1:11" ht="24" customHeight="1">
      <c r="A87" s="703"/>
    </row>
    <row r="88" spans="1:11" ht="15" customHeight="1"/>
    <row r="89" spans="1:11" ht="15" customHeight="1"/>
    <row r="90" spans="1:11" ht="15" customHeight="1"/>
    <row r="91" spans="1:11" s="356" customFormat="1" ht="18" customHeight="1">
      <c r="A91" s="690"/>
      <c r="B91" s="701"/>
      <c r="D91" s="712"/>
      <c r="E91" s="690"/>
      <c r="F91" s="690"/>
      <c r="H91" s="720"/>
      <c r="I91" s="720"/>
      <c r="K91" s="720"/>
    </row>
    <row r="92" spans="1:11" s="356" customFormat="1" ht="18" customHeight="1">
      <c r="A92" s="690"/>
      <c r="B92" s="701"/>
      <c r="D92" s="712"/>
      <c r="E92" s="690"/>
      <c r="F92" s="690"/>
      <c r="H92" s="720"/>
      <c r="I92" s="720"/>
      <c r="K92" s="720"/>
    </row>
    <row r="93" spans="1:11" s="356" customFormat="1" ht="27" customHeight="1">
      <c r="A93" s="690"/>
      <c r="B93" s="701"/>
      <c r="D93" s="712"/>
      <c r="E93" s="690"/>
      <c r="F93" s="690"/>
      <c r="H93" s="720"/>
      <c r="I93" s="720"/>
      <c r="K93" s="720"/>
    </row>
    <row r="94" spans="1:11" s="356" customFormat="1" ht="27" customHeight="1">
      <c r="A94" s="690"/>
      <c r="B94" s="701"/>
      <c r="D94" s="712"/>
      <c r="E94" s="690"/>
      <c r="F94" s="690"/>
      <c r="H94" s="720"/>
      <c r="I94" s="720"/>
      <c r="K94" s="720"/>
    </row>
    <row r="95" spans="1:11" ht="27" customHeight="1"/>
    <row r="96" spans="1:11" ht="27" customHeight="1"/>
    <row r="97" spans="1:11" ht="24" customHeight="1"/>
    <row r="98" spans="1:11" ht="15" customHeight="1"/>
    <row r="99" spans="1:11" ht="15" customHeight="1"/>
    <row r="100" spans="1:11" ht="15" customHeight="1"/>
    <row r="101" spans="1:11" s="356" customFormat="1" ht="18" customHeight="1">
      <c r="A101" s="690"/>
      <c r="B101" s="701"/>
      <c r="D101" s="712"/>
      <c r="E101" s="690"/>
      <c r="F101" s="690"/>
      <c r="H101" s="720"/>
      <c r="I101" s="720"/>
      <c r="K101" s="720"/>
    </row>
    <row r="102" spans="1:11" s="384" customFormat="1" ht="18.75" customHeight="1">
      <c r="A102" s="690"/>
      <c r="B102" s="701"/>
      <c r="C102" s="356"/>
      <c r="D102" s="713"/>
      <c r="E102" s="408"/>
      <c r="F102" s="408"/>
      <c r="H102" s="385"/>
      <c r="I102" s="385"/>
      <c r="K102" s="385"/>
    </row>
    <row r="103" spans="1:11" ht="24" customHeight="1"/>
    <row r="104" spans="1:11" ht="15" customHeight="1"/>
    <row r="105" spans="1:11" ht="15" customHeight="1"/>
    <row r="106" spans="1:11" ht="15" customHeight="1"/>
    <row r="107" spans="1:11" s="356" customFormat="1" ht="18" customHeight="1">
      <c r="A107" s="690"/>
      <c r="B107" s="701"/>
      <c r="D107" s="712"/>
      <c r="E107" s="690"/>
      <c r="F107" s="690"/>
      <c r="H107" s="720"/>
      <c r="I107" s="720"/>
      <c r="K107" s="720"/>
    </row>
    <row r="108" spans="1:11" s="384" customFormat="1" ht="18" customHeight="1">
      <c r="A108" s="690"/>
      <c r="B108" s="701"/>
      <c r="C108" s="356"/>
      <c r="D108" s="713"/>
      <c r="E108" s="408"/>
      <c r="F108" s="408"/>
      <c r="H108" s="385"/>
      <c r="I108" s="385"/>
      <c r="K108" s="385"/>
    </row>
    <row r="109" spans="1:11" ht="24" customHeight="1"/>
    <row r="110" spans="1:11">
      <c r="B110" s="707"/>
    </row>
    <row r="111" spans="1:11">
      <c r="A111" s="691"/>
      <c r="B111" s="714"/>
    </row>
    <row r="113" spans="1:11" ht="18" customHeight="1"/>
    <row r="114" spans="1:11" ht="18" customHeight="1"/>
    <row r="115" spans="1:11" ht="18" customHeight="1"/>
    <row r="116" spans="1:11" ht="18" customHeight="1"/>
    <row r="117" spans="1:11" ht="18" customHeight="1"/>
    <row r="118" spans="1:11" ht="18" customHeight="1"/>
    <row r="119" spans="1:11" s="357" customFormat="1" ht="18" customHeight="1">
      <c r="A119" s="690"/>
      <c r="B119" s="701"/>
      <c r="C119" s="356"/>
      <c r="D119" s="708"/>
      <c r="G119" s="353"/>
      <c r="H119" s="354"/>
      <c r="I119" s="354"/>
      <c r="J119" s="353"/>
      <c r="K119" s="354"/>
    </row>
    <row r="120" spans="1:11" s="357" customFormat="1" ht="18" customHeight="1">
      <c r="A120" s="690"/>
      <c r="B120" s="701"/>
      <c r="C120" s="356"/>
      <c r="D120" s="708"/>
      <c r="G120" s="353"/>
      <c r="H120" s="354"/>
      <c r="I120" s="354"/>
      <c r="J120" s="353"/>
      <c r="K120" s="354"/>
    </row>
    <row r="121" spans="1:11" s="357" customFormat="1" ht="18" customHeight="1">
      <c r="A121" s="690"/>
      <c r="B121" s="701"/>
      <c r="C121" s="356"/>
      <c r="D121" s="708"/>
      <c r="G121" s="353"/>
      <c r="H121" s="354"/>
      <c r="I121" s="354"/>
      <c r="J121" s="353"/>
      <c r="K121" s="354"/>
    </row>
    <row r="122" spans="1:11" s="357" customFormat="1" ht="18" customHeight="1">
      <c r="A122" s="690"/>
      <c r="B122" s="701"/>
      <c r="C122" s="356"/>
      <c r="D122" s="708"/>
      <c r="G122" s="353"/>
      <c r="H122" s="354"/>
      <c r="I122" s="354"/>
      <c r="J122" s="353"/>
      <c r="K122" s="354"/>
    </row>
    <row r="123" spans="1:11" s="357" customFormat="1" ht="26.25" customHeight="1">
      <c r="A123" s="690"/>
      <c r="B123" s="701"/>
      <c r="C123" s="356"/>
      <c r="D123" s="708"/>
      <c r="G123" s="353"/>
      <c r="H123" s="354"/>
      <c r="I123" s="354"/>
      <c r="J123" s="353"/>
      <c r="K123" s="354"/>
    </row>
    <row r="124" spans="1:11" s="357" customFormat="1" ht="20.25" customHeight="1">
      <c r="A124" s="690"/>
      <c r="B124" s="701"/>
      <c r="C124" s="356"/>
      <c r="D124" s="708"/>
      <c r="G124" s="353"/>
      <c r="H124" s="354"/>
      <c r="I124" s="354"/>
      <c r="J124" s="353"/>
      <c r="K124" s="354"/>
    </row>
    <row r="126" spans="1:11" s="357" customFormat="1" ht="27.75" customHeight="1">
      <c r="A126" s="690"/>
      <c r="B126" s="701"/>
      <c r="C126" s="356"/>
      <c r="D126" s="708"/>
      <c r="G126" s="353"/>
      <c r="H126" s="354"/>
      <c r="I126" s="354"/>
      <c r="J126" s="353"/>
      <c r="K126" s="354"/>
    </row>
    <row r="127" spans="1:11" s="357" customFormat="1" ht="18" customHeight="1">
      <c r="A127" s="690"/>
      <c r="B127" s="701"/>
      <c r="C127" s="356"/>
      <c r="D127" s="708"/>
      <c r="G127" s="353"/>
      <c r="H127" s="354"/>
      <c r="I127" s="354"/>
      <c r="J127" s="353"/>
      <c r="K127" s="354"/>
    </row>
    <row r="128" spans="1:11" s="357" customFormat="1" ht="57.75" customHeight="1">
      <c r="A128" s="690"/>
      <c r="B128" s="701"/>
      <c r="C128" s="356"/>
      <c r="D128" s="708"/>
      <c r="G128" s="353"/>
      <c r="H128" s="354"/>
      <c r="I128" s="354"/>
      <c r="J128" s="353"/>
      <c r="K128" s="354"/>
    </row>
    <row r="129" spans="1:11" s="357" customFormat="1">
      <c r="A129" s="690"/>
      <c r="B129" s="701"/>
      <c r="C129" s="690"/>
      <c r="D129" s="708"/>
      <c r="H129" s="354"/>
      <c r="I129" s="354"/>
      <c r="K129" s="354"/>
    </row>
    <row r="130" spans="1:11" s="357" customFormat="1">
      <c r="A130" s="690"/>
      <c r="B130" s="701"/>
      <c r="C130" s="690"/>
      <c r="D130" s="708"/>
      <c r="H130" s="354"/>
      <c r="I130" s="354"/>
      <c r="K130" s="354"/>
    </row>
  </sheetData>
  <mergeCells count="8">
    <mergeCell ref="D54:E54"/>
    <mergeCell ref="D55:E55"/>
    <mergeCell ref="A1:F1"/>
    <mergeCell ref="D49:E49"/>
    <mergeCell ref="D50:E50"/>
    <mergeCell ref="D51:E51"/>
    <mergeCell ref="D52:E52"/>
    <mergeCell ref="D53:E53"/>
  </mergeCells>
  <pageMargins left="0.78" right="0.23622047244094491" top="0.31496062992125984" bottom="0.55118110236220474" header="0.31496062992125984" footer="0.31496062992125984"/>
  <pageSetup paperSize="9" scale="90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41"/>
  <sheetViews>
    <sheetView topLeftCell="A25" workbookViewId="0">
      <selection activeCell="H16" sqref="H16"/>
    </sheetView>
  </sheetViews>
  <sheetFormatPr baseColWidth="10" defaultRowHeight="12.75"/>
  <cols>
    <col min="1" max="1" width="10.7109375" style="356" customWidth="1"/>
    <col min="2" max="2" width="44.42578125" style="353" customWidth="1"/>
    <col min="3" max="3" width="7.7109375" style="356" customWidth="1"/>
    <col min="4" max="4" width="11.5703125" style="356" customWidth="1"/>
    <col min="5" max="5" width="12.42578125" style="357" customWidth="1"/>
    <col min="6" max="6" width="14.28515625" style="357" customWidth="1"/>
    <col min="7" max="7" width="13.140625" style="357" customWidth="1"/>
    <col min="8" max="8" width="12.7109375" style="357" customWidth="1"/>
    <col min="9" max="11" width="8.85546875" style="353" customWidth="1"/>
    <col min="12" max="16384" width="11.42578125" style="353"/>
  </cols>
  <sheetData>
    <row r="1" spans="1:8" ht="16.5" customHeight="1">
      <c r="A1" s="806" t="s">
        <v>549</v>
      </c>
      <c r="B1" s="806"/>
      <c r="C1" s="806"/>
      <c r="D1" s="806"/>
      <c r="E1" s="806"/>
      <c r="F1" s="806"/>
    </row>
    <row r="2" spans="1:8" ht="16.5" customHeight="1">
      <c r="A2" s="806" t="s">
        <v>562</v>
      </c>
      <c r="B2" s="806"/>
      <c r="C2" s="806"/>
      <c r="D2" s="806"/>
      <c r="E2" s="806"/>
      <c r="F2" s="806"/>
    </row>
    <row r="3" spans="1:8" ht="15" customHeight="1">
      <c r="A3" s="352"/>
      <c r="B3" s="352"/>
      <c r="C3" s="352"/>
      <c r="D3" s="352"/>
      <c r="E3" s="352"/>
      <c r="F3" s="352"/>
    </row>
    <row r="4" spans="1:8" ht="15" customHeight="1">
      <c r="A4" s="804" t="s">
        <v>68</v>
      </c>
      <c r="B4" s="804"/>
      <c r="C4" s="355"/>
    </row>
    <row r="5" spans="1:8" ht="15" customHeight="1"/>
    <row r="6" spans="1:8" s="356" customFormat="1" ht="18" customHeight="1">
      <c r="A6" s="358" t="s">
        <v>30</v>
      </c>
      <c r="B6" s="358" t="s">
        <v>31</v>
      </c>
      <c r="C6" s="358" t="s">
        <v>12</v>
      </c>
      <c r="D6" s="358" t="s">
        <v>32</v>
      </c>
      <c r="E6" s="359" t="s">
        <v>40</v>
      </c>
      <c r="F6" s="359" t="s">
        <v>33</v>
      </c>
      <c r="G6" s="690"/>
      <c r="H6" s="690"/>
    </row>
    <row r="7" spans="1:8" s="356" customFormat="1" ht="18" customHeight="1">
      <c r="A7" s="360" t="s">
        <v>0</v>
      </c>
      <c r="B7" s="361" t="s">
        <v>210</v>
      </c>
      <c r="C7" s="362" t="s">
        <v>2</v>
      </c>
      <c r="D7" s="366">
        <v>38.5</v>
      </c>
      <c r="E7" s="364">
        <v>4000</v>
      </c>
      <c r="F7" s="364">
        <f>D7*E7</f>
        <v>154000</v>
      </c>
      <c r="G7" s="690"/>
      <c r="H7" s="690"/>
    </row>
    <row r="8" spans="1:8" ht="24" customHeight="1">
      <c r="A8" s="807" t="s">
        <v>92</v>
      </c>
      <c r="B8" s="808"/>
      <c r="C8" s="808"/>
      <c r="D8" s="808"/>
      <c r="E8" s="809"/>
      <c r="F8" s="365">
        <f>SUM(F7:F7)</f>
        <v>154000</v>
      </c>
    </row>
    <row r="9" spans="1:8" ht="15" customHeight="1">
      <c r="A9" s="368"/>
      <c r="B9" s="369"/>
      <c r="C9" s="370"/>
      <c r="D9" s="371"/>
      <c r="E9" s="372"/>
      <c r="F9" s="373"/>
    </row>
    <row r="10" spans="1:8" ht="15" customHeight="1">
      <c r="A10" s="810" t="s">
        <v>551</v>
      </c>
      <c r="B10" s="810"/>
      <c r="C10" s="810"/>
      <c r="D10" s="810"/>
      <c r="E10" s="372"/>
      <c r="F10" s="374"/>
    </row>
    <row r="11" spans="1:8" ht="15" customHeight="1">
      <c r="A11" s="368"/>
      <c r="B11" s="369"/>
      <c r="C11" s="370"/>
      <c r="D11" s="371"/>
      <c r="E11" s="372"/>
      <c r="F11" s="374"/>
    </row>
    <row r="12" spans="1:8" s="356" customFormat="1" ht="18" customHeight="1">
      <c r="A12" s="358" t="s">
        <v>30</v>
      </c>
      <c r="B12" s="358" t="s">
        <v>31</v>
      </c>
      <c r="C12" s="358" t="s">
        <v>12</v>
      </c>
      <c r="D12" s="358" t="s">
        <v>32</v>
      </c>
      <c r="E12" s="359" t="s">
        <v>40</v>
      </c>
      <c r="F12" s="359" t="s">
        <v>33</v>
      </c>
      <c r="G12" s="690"/>
      <c r="H12" s="690"/>
    </row>
    <row r="13" spans="1:8" ht="27" customHeight="1">
      <c r="A13" s="375" t="s">
        <v>3</v>
      </c>
      <c r="B13" s="376" t="s">
        <v>411</v>
      </c>
      <c r="C13" s="377" t="s">
        <v>2</v>
      </c>
      <c r="D13" s="378">
        <v>2.1800000000000002</v>
      </c>
      <c r="E13" s="379">
        <v>195000</v>
      </c>
      <c r="F13" s="281">
        <f>+D13*E13</f>
        <v>425100.00000000006</v>
      </c>
    </row>
    <row r="14" spans="1:8" ht="39.75" customHeight="1">
      <c r="A14" s="375" t="s">
        <v>4</v>
      </c>
      <c r="B14" s="380" t="s">
        <v>563</v>
      </c>
      <c r="C14" s="362" t="s">
        <v>2</v>
      </c>
      <c r="D14" s="728">
        <v>10.739000000000001</v>
      </c>
      <c r="E14" s="281">
        <v>350000</v>
      </c>
      <c r="F14" s="281">
        <f t="shared" ref="F14:F18" si="0">+D14*E14</f>
        <v>3758650.0000000005</v>
      </c>
    </row>
    <row r="15" spans="1:8" ht="27" customHeight="1">
      <c r="A15" s="375" t="s">
        <v>5</v>
      </c>
      <c r="B15" s="376" t="s">
        <v>218</v>
      </c>
      <c r="C15" s="377" t="s">
        <v>18</v>
      </c>
      <c r="D15" s="729">
        <f>D14*70</f>
        <v>751.73</v>
      </c>
      <c r="E15" s="387">
        <v>5500</v>
      </c>
      <c r="F15" s="281">
        <f t="shared" si="0"/>
        <v>4134515</v>
      </c>
    </row>
    <row r="16" spans="1:8" ht="18" customHeight="1">
      <c r="A16" s="360" t="s">
        <v>6</v>
      </c>
      <c r="B16" s="380" t="s">
        <v>219</v>
      </c>
      <c r="C16" s="362" t="s">
        <v>1</v>
      </c>
      <c r="D16" s="730">
        <v>45</v>
      </c>
      <c r="E16" s="282">
        <v>9500</v>
      </c>
      <c r="F16" s="281">
        <f t="shared" si="0"/>
        <v>427500</v>
      </c>
    </row>
    <row r="17" spans="1:8" ht="25.5">
      <c r="A17" s="375" t="s">
        <v>17</v>
      </c>
      <c r="B17" s="380" t="s">
        <v>553</v>
      </c>
      <c r="C17" s="362" t="s">
        <v>2</v>
      </c>
      <c r="D17" s="731">
        <v>23.36</v>
      </c>
      <c r="E17" s="281">
        <v>160000</v>
      </c>
      <c r="F17" s="281">
        <f t="shared" si="0"/>
        <v>3737600</v>
      </c>
    </row>
    <row r="18" spans="1:8" ht="25.5">
      <c r="A18" s="360" t="s">
        <v>19</v>
      </c>
      <c r="B18" s="380" t="s">
        <v>222</v>
      </c>
      <c r="C18" s="362" t="s">
        <v>1</v>
      </c>
      <c r="D18" s="732">
        <v>144</v>
      </c>
      <c r="E18" s="281">
        <v>17500</v>
      </c>
      <c r="F18" s="281">
        <f t="shared" si="0"/>
        <v>2520000</v>
      </c>
    </row>
    <row r="19" spans="1:8" ht="24" customHeight="1">
      <c r="A19" s="807" t="s">
        <v>555</v>
      </c>
      <c r="B19" s="808"/>
      <c r="C19" s="808"/>
      <c r="D19" s="808"/>
      <c r="E19" s="809"/>
      <c r="F19" s="365">
        <f>SUM(F13:F18)</f>
        <v>15003365</v>
      </c>
      <c r="G19" s="703"/>
    </row>
    <row r="20" spans="1:8" ht="15" customHeight="1">
      <c r="A20" s="368"/>
      <c r="B20" s="369"/>
      <c r="C20" s="370"/>
      <c r="D20" s="395"/>
      <c r="E20" s="396"/>
      <c r="F20" s="394"/>
    </row>
    <row r="21" spans="1:8" ht="15" customHeight="1">
      <c r="A21" s="368"/>
      <c r="B21" s="369"/>
      <c r="C21" s="370"/>
      <c r="D21" s="395"/>
      <c r="E21" s="396"/>
      <c r="F21" s="396"/>
    </row>
    <row r="22" spans="1:8" ht="15" customHeight="1">
      <c r="A22" s="804" t="s">
        <v>564</v>
      </c>
      <c r="B22" s="804"/>
      <c r="C22" s="355"/>
    </row>
    <row r="23" spans="1:8" ht="15" customHeight="1"/>
    <row r="24" spans="1:8" s="356" customFormat="1" ht="18" customHeight="1">
      <c r="A24" s="358" t="s">
        <v>30</v>
      </c>
      <c r="B24" s="358" t="s">
        <v>31</v>
      </c>
      <c r="C24" s="358" t="s">
        <v>12</v>
      </c>
      <c r="D24" s="358" t="s">
        <v>32</v>
      </c>
      <c r="E24" s="359" t="s">
        <v>40</v>
      </c>
      <c r="F24" s="359" t="s">
        <v>33</v>
      </c>
      <c r="G24" s="690"/>
      <c r="H24" s="690"/>
    </row>
    <row r="25" spans="1:8" s="356" customFormat="1" ht="38.25" customHeight="1">
      <c r="A25" s="375" t="s">
        <v>9</v>
      </c>
      <c r="B25" s="383" t="s">
        <v>556</v>
      </c>
      <c r="C25" s="362" t="s">
        <v>1</v>
      </c>
      <c r="D25" s="363">
        <v>315.8</v>
      </c>
      <c r="E25" s="306">
        <v>5500</v>
      </c>
      <c r="F25" s="306">
        <f>+D25*E25</f>
        <v>1736900</v>
      </c>
      <c r="G25" s="690"/>
      <c r="H25" s="690"/>
    </row>
    <row r="26" spans="1:8" s="356" customFormat="1" ht="27" customHeight="1">
      <c r="A26" s="375" t="s">
        <v>66</v>
      </c>
      <c r="B26" s="383" t="s">
        <v>605</v>
      </c>
      <c r="C26" s="362" t="s">
        <v>1</v>
      </c>
      <c r="D26" s="363">
        <v>21.9</v>
      </c>
      <c r="E26" s="306">
        <v>7000</v>
      </c>
      <c r="F26" s="306">
        <f>+D26*E26</f>
        <v>153300</v>
      </c>
      <c r="G26" s="703"/>
      <c r="H26" s="690"/>
    </row>
    <row r="27" spans="1:8" ht="24" customHeight="1">
      <c r="A27" s="807" t="s">
        <v>565</v>
      </c>
      <c r="B27" s="808"/>
      <c r="C27" s="808"/>
      <c r="D27" s="808"/>
      <c r="E27" s="809"/>
      <c r="F27" s="365">
        <f>SUM(F25:F26)</f>
        <v>1890200</v>
      </c>
      <c r="G27" s="703"/>
    </row>
    <row r="28" spans="1:8" ht="15" customHeight="1">
      <c r="A28" s="368"/>
      <c r="B28" s="369"/>
      <c r="C28" s="370"/>
      <c r="D28" s="395"/>
      <c r="E28" s="396"/>
      <c r="F28" s="396"/>
    </row>
    <row r="29" spans="1:8" ht="16.5">
      <c r="G29" s="411"/>
      <c r="H29" s="705"/>
    </row>
    <row r="30" spans="1:8" ht="15.75">
      <c r="A30" s="812" t="s">
        <v>181</v>
      </c>
      <c r="B30" s="812"/>
    </row>
    <row r="31" spans="1:8" ht="18" customHeight="1">
      <c r="A31" s="811" t="str">
        <f>+A4</f>
        <v>SERIE N° 2 : TERRASSEMENT</v>
      </c>
      <c r="B31" s="811"/>
      <c r="F31" s="357">
        <f>F8</f>
        <v>154000</v>
      </c>
    </row>
    <row r="32" spans="1:8" ht="18" customHeight="1">
      <c r="A32" s="811" t="str">
        <f>+A10</f>
        <v>SERIE N° 3 : BETONS ET MACONNERIES EN INFRASTRUCTURE ET SUPERSTRUCTURE</v>
      </c>
      <c r="B32" s="811"/>
      <c r="F32" s="357">
        <f>F19</f>
        <v>15003365</v>
      </c>
    </row>
    <row r="33" spans="1:8" ht="18" customHeight="1">
      <c r="A33" s="811" t="str">
        <f>+A22</f>
        <v>SERIE N° 5: ENDUIT ET CHAPE</v>
      </c>
      <c r="B33" s="811"/>
      <c r="F33" s="357">
        <f>F27</f>
        <v>1890200</v>
      </c>
    </row>
    <row r="34" spans="1:8" s="357" customFormat="1" ht="26.25" customHeight="1">
      <c r="A34" s="356"/>
      <c r="B34" s="353"/>
      <c r="C34" s="356"/>
      <c r="D34" s="356"/>
    </row>
    <row r="35" spans="1:8" s="357" customFormat="1" ht="20.25" customHeight="1">
      <c r="A35" s="813" t="s">
        <v>64</v>
      </c>
      <c r="B35" s="814"/>
      <c r="C35" s="814"/>
      <c r="D35" s="814"/>
      <c r="E35" s="815"/>
      <c r="F35" s="343">
        <f>SUM(F31:F34)</f>
        <v>17047565</v>
      </c>
      <c r="H35" s="723"/>
    </row>
    <row r="37" spans="1:8" s="357" customFormat="1" ht="27.75" customHeight="1">
      <c r="A37" s="802" t="s">
        <v>607</v>
      </c>
      <c r="B37" s="803"/>
      <c r="C37" s="803"/>
      <c r="D37" s="803"/>
      <c r="E37" s="803"/>
      <c r="F37" s="803"/>
    </row>
    <row r="38" spans="1:8" s="357" customFormat="1" ht="18" customHeight="1">
      <c r="A38" s="356"/>
      <c r="B38" s="353"/>
      <c r="C38" s="356"/>
      <c r="D38" s="356"/>
      <c r="F38" s="410"/>
    </row>
    <row r="39" spans="1:8" s="357" customFormat="1" ht="57.75" customHeight="1">
      <c r="A39" s="356"/>
      <c r="B39" s="353"/>
      <c r="C39" s="356"/>
      <c r="D39" s="356"/>
    </row>
    <row r="40" spans="1:8" s="357" customFormat="1">
      <c r="A40" s="356"/>
      <c r="B40" s="353"/>
      <c r="C40" s="356"/>
      <c r="D40" s="356"/>
      <c r="E40" s="354"/>
      <c r="F40" s="411"/>
    </row>
    <row r="41" spans="1:8" s="357" customFormat="1">
      <c r="A41" s="356"/>
      <c r="B41" s="353"/>
      <c r="C41" s="356"/>
      <c r="D41" s="356"/>
      <c r="E41" s="354"/>
    </row>
  </sheetData>
  <mergeCells count="14">
    <mergeCell ref="A35:E35"/>
    <mergeCell ref="A37:F37"/>
    <mergeCell ref="A22:B22"/>
    <mergeCell ref="A27:E27"/>
    <mergeCell ref="A30:B30"/>
    <mergeCell ref="A31:B31"/>
    <mergeCell ref="A32:B32"/>
    <mergeCell ref="A33:B33"/>
    <mergeCell ref="A19:E19"/>
    <mergeCell ref="A1:F1"/>
    <mergeCell ref="A2:F2"/>
    <mergeCell ref="A4:B4"/>
    <mergeCell ref="A8:E8"/>
    <mergeCell ref="A10:D1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41"/>
  <sheetViews>
    <sheetView topLeftCell="A4" workbookViewId="0">
      <selection activeCell="L29" sqref="L29"/>
    </sheetView>
  </sheetViews>
  <sheetFormatPr baseColWidth="10" defaultRowHeight="12.75"/>
  <cols>
    <col min="1" max="1" width="10.7109375" style="356" customWidth="1"/>
    <col min="2" max="2" width="44.42578125" style="353" customWidth="1"/>
    <col min="3" max="3" width="7.7109375" style="356" customWidth="1"/>
    <col min="4" max="4" width="11.5703125" style="356" customWidth="1"/>
    <col min="5" max="5" width="12.42578125" style="357" customWidth="1"/>
    <col min="6" max="6" width="14.28515625" style="357" customWidth="1"/>
    <col min="7" max="7" width="13.140625" style="357" customWidth="1"/>
    <col min="8" max="8" width="12.7109375" style="357" customWidth="1"/>
    <col min="9" max="11" width="8.85546875" style="353" customWidth="1"/>
    <col min="12" max="16384" width="11.42578125" style="353"/>
  </cols>
  <sheetData>
    <row r="1" spans="1:8" ht="16.5" customHeight="1">
      <c r="A1" s="806" t="s">
        <v>549</v>
      </c>
      <c r="B1" s="806"/>
      <c r="C1" s="806"/>
      <c r="D1" s="806"/>
      <c r="E1" s="806"/>
      <c r="F1" s="806"/>
    </row>
    <row r="2" spans="1:8" ht="16.5" customHeight="1">
      <c r="A2" s="806" t="s">
        <v>562</v>
      </c>
      <c r="B2" s="806"/>
      <c r="C2" s="806"/>
      <c r="D2" s="806"/>
      <c r="E2" s="806"/>
      <c r="F2" s="806"/>
    </row>
    <row r="3" spans="1:8" ht="15" customHeight="1">
      <c r="A3" s="352"/>
      <c r="B3" s="352"/>
      <c r="C3" s="352"/>
      <c r="D3" s="352"/>
      <c r="E3" s="352"/>
      <c r="F3" s="352"/>
    </row>
    <row r="4" spans="1:8" ht="15" customHeight="1">
      <c r="A4" s="804" t="s">
        <v>68</v>
      </c>
      <c r="B4" s="804"/>
      <c r="C4" s="355"/>
    </row>
    <row r="5" spans="1:8" ht="15" customHeight="1"/>
    <row r="6" spans="1:8" s="356" customFormat="1" ht="18" customHeight="1">
      <c r="A6" s="358" t="s">
        <v>30</v>
      </c>
      <c r="B6" s="358" t="s">
        <v>31</v>
      </c>
      <c r="C6" s="358" t="s">
        <v>12</v>
      </c>
      <c r="D6" s="358" t="s">
        <v>32</v>
      </c>
      <c r="E6" s="359" t="s">
        <v>40</v>
      </c>
      <c r="F6" s="359" t="s">
        <v>33</v>
      </c>
      <c r="G6" s="690"/>
      <c r="H6" s="690"/>
    </row>
    <row r="7" spans="1:8" s="356" customFormat="1" ht="18" customHeight="1">
      <c r="A7" s="360" t="s">
        <v>0</v>
      </c>
      <c r="B7" s="361" t="s">
        <v>210</v>
      </c>
      <c r="C7" s="362" t="s">
        <v>2</v>
      </c>
      <c r="D7" s="366">
        <v>42.56</v>
      </c>
      <c r="E7" s="364">
        <v>4000</v>
      </c>
      <c r="F7" s="364">
        <f>D7*E7</f>
        <v>170240</v>
      </c>
      <c r="G7" s="690"/>
      <c r="H7" s="690"/>
    </row>
    <row r="8" spans="1:8" ht="24" customHeight="1">
      <c r="A8" s="807" t="s">
        <v>92</v>
      </c>
      <c r="B8" s="808"/>
      <c r="C8" s="808"/>
      <c r="D8" s="808"/>
      <c r="E8" s="809"/>
      <c r="F8" s="365">
        <f>SUM(F7:F7)</f>
        <v>170240</v>
      </c>
    </row>
    <row r="9" spans="1:8" ht="15" customHeight="1">
      <c r="A9" s="368"/>
      <c r="B9" s="369"/>
      <c r="C9" s="370"/>
      <c r="D9" s="371"/>
      <c r="E9" s="372"/>
      <c r="F9" s="373"/>
    </row>
    <row r="10" spans="1:8" ht="15" customHeight="1">
      <c r="A10" s="810" t="s">
        <v>551</v>
      </c>
      <c r="B10" s="810"/>
      <c r="C10" s="810"/>
      <c r="D10" s="810"/>
      <c r="E10" s="372"/>
      <c r="F10" s="374"/>
    </row>
    <row r="11" spans="1:8" ht="15" customHeight="1">
      <c r="A11" s="368"/>
      <c r="B11" s="369"/>
      <c r="C11" s="370"/>
      <c r="D11" s="371"/>
      <c r="E11" s="372"/>
      <c r="F11" s="374"/>
    </row>
    <row r="12" spans="1:8" s="356" customFormat="1" ht="18" customHeight="1">
      <c r="A12" s="358" t="s">
        <v>30</v>
      </c>
      <c r="B12" s="358" t="s">
        <v>31</v>
      </c>
      <c r="C12" s="358" t="s">
        <v>12</v>
      </c>
      <c r="D12" s="358" t="s">
        <v>32</v>
      </c>
      <c r="E12" s="359" t="s">
        <v>40</v>
      </c>
      <c r="F12" s="359" t="s">
        <v>33</v>
      </c>
      <c r="G12" s="690"/>
      <c r="H12" s="690"/>
    </row>
    <row r="13" spans="1:8" ht="27" customHeight="1">
      <c r="A13" s="375" t="s">
        <v>3</v>
      </c>
      <c r="B13" s="376" t="s">
        <v>411</v>
      </c>
      <c r="C13" s="377" t="s">
        <v>2</v>
      </c>
      <c r="D13" s="378">
        <v>2.1800000000000002</v>
      </c>
      <c r="E13" s="379">
        <v>258500</v>
      </c>
      <c r="F13" s="281">
        <f>+D13*E13</f>
        <v>563530</v>
      </c>
    </row>
    <row r="14" spans="1:8" ht="39.75" customHeight="1">
      <c r="A14" s="375" t="s">
        <v>6</v>
      </c>
      <c r="B14" s="380" t="s">
        <v>563</v>
      </c>
      <c r="C14" s="362" t="s">
        <v>2</v>
      </c>
      <c r="D14" s="386">
        <v>14.45</v>
      </c>
      <c r="E14" s="281">
        <v>410000</v>
      </c>
      <c r="F14" s="281">
        <f t="shared" ref="F14:F18" si="0">+D14*E14</f>
        <v>5924500</v>
      </c>
    </row>
    <row r="15" spans="1:8" ht="27" customHeight="1">
      <c r="A15" s="375" t="s">
        <v>17</v>
      </c>
      <c r="B15" s="376" t="s">
        <v>218</v>
      </c>
      <c r="C15" s="377" t="s">
        <v>18</v>
      </c>
      <c r="D15" s="349">
        <f>D14*90</f>
        <v>1300.5</v>
      </c>
      <c r="E15" s="387">
        <v>5500</v>
      </c>
      <c r="F15" s="281">
        <f t="shared" si="0"/>
        <v>7152750</v>
      </c>
    </row>
    <row r="16" spans="1:8" ht="18" customHeight="1">
      <c r="A16" s="360" t="s">
        <v>19</v>
      </c>
      <c r="B16" s="380" t="s">
        <v>219</v>
      </c>
      <c r="C16" s="362" t="s">
        <v>1</v>
      </c>
      <c r="D16" s="388">
        <v>45</v>
      </c>
      <c r="E16" s="282">
        <v>11500</v>
      </c>
      <c r="F16" s="281">
        <f t="shared" si="0"/>
        <v>517500</v>
      </c>
    </row>
    <row r="17" spans="1:8" ht="25.5">
      <c r="A17" s="375" t="s">
        <v>65</v>
      </c>
      <c r="B17" s="380" t="s">
        <v>553</v>
      </c>
      <c r="C17" s="362" t="s">
        <v>2</v>
      </c>
      <c r="D17" s="366">
        <v>24.32</v>
      </c>
      <c r="E17" s="281">
        <v>210000</v>
      </c>
      <c r="F17" s="281">
        <f t="shared" si="0"/>
        <v>5107200</v>
      </c>
    </row>
    <row r="18" spans="1:8" ht="25.5">
      <c r="A18" s="360" t="s">
        <v>554</v>
      </c>
      <c r="B18" s="380" t="s">
        <v>222</v>
      </c>
      <c r="C18" s="362" t="s">
        <v>1</v>
      </c>
      <c r="D18" s="363">
        <v>152</v>
      </c>
      <c r="E18" s="281">
        <v>19000</v>
      </c>
      <c r="F18" s="281">
        <f t="shared" si="0"/>
        <v>2888000</v>
      </c>
    </row>
    <row r="19" spans="1:8" ht="24" customHeight="1">
      <c r="A19" s="807" t="s">
        <v>555</v>
      </c>
      <c r="B19" s="808"/>
      <c r="C19" s="808"/>
      <c r="D19" s="808"/>
      <c r="E19" s="809"/>
      <c r="F19" s="365">
        <f>SUM(F13:F18)</f>
        <v>22153480</v>
      </c>
      <c r="G19" s="690"/>
    </row>
    <row r="20" spans="1:8" ht="15" customHeight="1">
      <c r="A20" s="368"/>
      <c r="B20" s="369"/>
      <c r="C20" s="370"/>
      <c r="D20" s="395"/>
      <c r="E20" s="396"/>
      <c r="F20" s="394"/>
    </row>
    <row r="21" spans="1:8" ht="15" customHeight="1">
      <c r="A21" s="368"/>
      <c r="B21" s="369"/>
      <c r="C21" s="370"/>
      <c r="D21" s="395"/>
      <c r="E21" s="396"/>
      <c r="F21" s="396"/>
    </row>
    <row r="22" spans="1:8" ht="15" customHeight="1">
      <c r="A22" s="804" t="s">
        <v>564</v>
      </c>
      <c r="B22" s="804"/>
      <c r="C22" s="355"/>
    </row>
    <row r="23" spans="1:8" ht="15" customHeight="1"/>
    <row r="24" spans="1:8" s="356" customFormat="1" ht="18" customHeight="1">
      <c r="A24" s="358" t="s">
        <v>30</v>
      </c>
      <c r="B24" s="358" t="s">
        <v>31</v>
      </c>
      <c r="C24" s="358" t="s">
        <v>12</v>
      </c>
      <c r="D24" s="358" t="s">
        <v>32</v>
      </c>
      <c r="E24" s="359" t="s">
        <v>40</v>
      </c>
      <c r="F24" s="359" t="s">
        <v>33</v>
      </c>
      <c r="G24" s="690"/>
      <c r="H24" s="690"/>
    </row>
    <row r="25" spans="1:8" s="356" customFormat="1" ht="38.25" customHeight="1">
      <c r="A25" s="375" t="s">
        <v>9</v>
      </c>
      <c r="B25" s="383" t="s">
        <v>556</v>
      </c>
      <c r="C25" s="362" t="s">
        <v>1</v>
      </c>
      <c r="D25" s="363">
        <v>350.5</v>
      </c>
      <c r="E25" s="306">
        <v>7000</v>
      </c>
      <c r="F25" s="306">
        <f>+D25*E25</f>
        <v>2453500</v>
      </c>
      <c r="G25" s="690"/>
      <c r="H25" s="690"/>
    </row>
    <row r="26" spans="1:8" s="356" customFormat="1" ht="27" customHeight="1">
      <c r="A26" s="375" t="s">
        <v>66</v>
      </c>
      <c r="B26" s="383" t="s">
        <v>605</v>
      </c>
      <c r="C26" s="362" t="s">
        <v>1</v>
      </c>
      <c r="D26" s="363">
        <v>25</v>
      </c>
      <c r="E26" s="306">
        <v>9000</v>
      </c>
      <c r="F26" s="306">
        <f>+D26*E26</f>
        <v>225000</v>
      </c>
      <c r="G26" s="690"/>
      <c r="H26" s="690"/>
    </row>
    <row r="27" spans="1:8" ht="24" customHeight="1">
      <c r="A27" s="807" t="s">
        <v>565</v>
      </c>
      <c r="B27" s="808"/>
      <c r="C27" s="808"/>
      <c r="D27" s="808"/>
      <c r="E27" s="809"/>
      <c r="F27" s="365">
        <f>SUM(F25:F26)</f>
        <v>2678500</v>
      </c>
      <c r="G27" s="690"/>
    </row>
    <row r="28" spans="1:8" ht="15" customHeight="1">
      <c r="A28" s="368"/>
      <c r="B28" s="369"/>
      <c r="C28" s="370"/>
      <c r="D28" s="395"/>
      <c r="E28" s="396"/>
      <c r="F28" s="396"/>
    </row>
    <row r="29" spans="1:8" ht="16.5">
      <c r="G29" s="411"/>
      <c r="H29" s="410"/>
    </row>
    <row r="30" spans="1:8" ht="15.75">
      <c r="A30" s="812" t="s">
        <v>181</v>
      </c>
      <c r="B30" s="812"/>
    </row>
    <row r="31" spans="1:8" ht="18" customHeight="1">
      <c r="A31" s="811" t="str">
        <f>+A4</f>
        <v>SERIE N° 2 : TERRASSEMENT</v>
      </c>
      <c r="B31" s="811"/>
      <c r="F31" s="357">
        <f>F8</f>
        <v>170240</v>
      </c>
    </row>
    <row r="32" spans="1:8" ht="18" customHeight="1">
      <c r="A32" s="811" t="str">
        <f>+A10</f>
        <v>SERIE N° 3 : BETONS ET MACONNERIES EN INFRASTRUCTURE ET SUPERSTRUCTURE</v>
      </c>
      <c r="B32" s="811"/>
      <c r="F32" s="357">
        <f>F19</f>
        <v>22153480</v>
      </c>
    </row>
    <row r="33" spans="1:6" ht="18" customHeight="1">
      <c r="A33" s="811" t="str">
        <f>+A22</f>
        <v>SERIE N° 5: ENDUIT ET CHAPE</v>
      </c>
      <c r="B33" s="811"/>
      <c r="F33" s="357">
        <f>F27</f>
        <v>2678500</v>
      </c>
    </row>
    <row r="34" spans="1:6" s="357" customFormat="1" ht="26.25" customHeight="1">
      <c r="A34" s="356"/>
      <c r="B34" s="353"/>
      <c r="C34" s="356"/>
      <c r="D34" s="356"/>
    </row>
    <row r="35" spans="1:6" s="357" customFormat="1" ht="20.25" customHeight="1">
      <c r="A35" s="836" t="s">
        <v>64</v>
      </c>
      <c r="B35" s="837"/>
      <c r="C35" s="837"/>
      <c r="D35" s="837"/>
      <c r="E35" s="838"/>
      <c r="F35" s="726">
        <f>SUM(F31:F34)</f>
        <v>25002220</v>
      </c>
    </row>
    <row r="37" spans="1:6" s="357" customFormat="1" ht="27.75" customHeight="1">
      <c r="A37" s="839" t="s">
        <v>606</v>
      </c>
      <c r="B37" s="840"/>
      <c r="C37" s="840"/>
      <c r="D37" s="840"/>
      <c r="E37" s="840"/>
      <c r="F37" s="840"/>
    </row>
    <row r="38" spans="1:6" s="357" customFormat="1" ht="18" customHeight="1">
      <c r="A38" s="356"/>
      <c r="B38" s="353"/>
      <c r="C38" s="356"/>
      <c r="D38" s="356"/>
      <c r="F38" s="410"/>
    </row>
    <row r="39" spans="1:6" s="357" customFormat="1" ht="57.75" customHeight="1">
      <c r="A39" s="356"/>
      <c r="B39" s="353"/>
      <c r="C39" s="356"/>
      <c r="D39" s="356"/>
    </row>
    <row r="40" spans="1:6" s="357" customFormat="1">
      <c r="A40" s="356"/>
      <c r="B40" s="353"/>
      <c r="C40" s="356"/>
      <c r="D40" s="356"/>
      <c r="E40" s="354"/>
      <c r="F40" s="411"/>
    </row>
    <row r="41" spans="1:6" s="357" customFormat="1">
      <c r="A41" s="356"/>
      <c r="B41" s="353"/>
      <c r="C41" s="356"/>
      <c r="D41" s="356"/>
      <c r="E41" s="354"/>
    </row>
  </sheetData>
  <mergeCells count="14">
    <mergeCell ref="A35:E35"/>
    <mergeCell ref="A37:F37"/>
    <mergeCell ref="A22:B22"/>
    <mergeCell ref="A27:E27"/>
    <mergeCell ref="A30:B30"/>
    <mergeCell ref="A31:B31"/>
    <mergeCell ref="A32:B32"/>
    <mergeCell ref="A33:B33"/>
    <mergeCell ref="A19:E19"/>
    <mergeCell ref="A1:F1"/>
    <mergeCell ref="A2:F2"/>
    <mergeCell ref="A4:B4"/>
    <mergeCell ref="A8:E8"/>
    <mergeCell ref="A10:D1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00"/>
  <sheetViews>
    <sheetView topLeftCell="A4" workbookViewId="0">
      <selection activeCell="I22" sqref="I22"/>
    </sheetView>
  </sheetViews>
  <sheetFormatPr baseColWidth="10" defaultRowHeight="12.75"/>
  <cols>
    <col min="1" max="1" width="8.7109375" style="690" customWidth="1"/>
    <col min="2" max="2" width="35" style="701" customWidth="1"/>
    <col min="3" max="3" width="10" style="356" customWidth="1"/>
    <col min="4" max="4" width="12" style="708" customWidth="1"/>
    <col min="5" max="6" width="14.5703125" style="357" customWidth="1"/>
    <col min="7" max="16384" width="11.42578125" style="353"/>
  </cols>
  <sheetData>
    <row r="1" spans="1:6" ht="16.5" customHeight="1">
      <c r="A1" s="845" t="s">
        <v>593</v>
      </c>
      <c r="B1" s="846"/>
      <c r="C1" s="846"/>
      <c r="D1" s="846"/>
      <c r="E1" s="846"/>
      <c r="F1" s="847"/>
    </row>
    <row r="2" spans="1:6" ht="15" customHeight="1"/>
    <row r="3" spans="1:6" ht="15.75" customHeight="1">
      <c r="A3" s="359" t="s">
        <v>385</v>
      </c>
      <c r="B3" s="359" t="s">
        <v>34</v>
      </c>
      <c r="C3" s="358" t="s">
        <v>114</v>
      </c>
      <c r="D3" s="709" t="s">
        <v>32</v>
      </c>
      <c r="E3" s="359" t="s">
        <v>512</v>
      </c>
      <c r="F3" s="359" t="s">
        <v>33</v>
      </c>
    </row>
    <row r="4" spans="1:6" ht="15.75" customHeight="1">
      <c r="A4" s="364">
        <v>1</v>
      </c>
      <c r="B4" s="702" t="s">
        <v>514</v>
      </c>
      <c r="C4" s="362" t="s">
        <v>23</v>
      </c>
      <c r="D4" s="281">
        <v>7</v>
      </c>
      <c r="E4" s="281">
        <v>23000</v>
      </c>
      <c r="F4" s="281">
        <f t="shared" ref="F4:F18" si="0">D4*E4</f>
        <v>161000</v>
      </c>
    </row>
    <row r="5" spans="1:6" ht="15.75" customHeight="1">
      <c r="A5" s="364">
        <v>2</v>
      </c>
      <c r="B5" s="702" t="s">
        <v>566</v>
      </c>
      <c r="C5" s="362" t="s">
        <v>23</v>
      </c>
      <c r="D5" s="281">
        <v>176</v>
      </c>
      <c r="E5" s="281">
        <v>25000</v>
      </c>
      <c r="F5" s="281">
        <f t="shared" ref="F5" si="1">D5*E5</f>
        <v>4400000</v>
      </c>
    </row>
    <row r="6" spans="1:6" s="356" customFormat="1" ht="15.75" customHeight="1">
      <c r="A6" s="364">
        <v>3</v>
      </c>
      <c r="B6" s="702" t="s">
        <v>42</v>
      </c>
      <c r="C6" s="362" t="s">
        <v>2</v>
      </c>
      <c r="D6" s="710">
        <v>22</v>
      </c>
      <c r="E6" s="364">
        <v>6500</v>
      </c>
      <c r="F6" s="281">
        <f t="shared" si="0"/>
        <v>143000</v>
      </c>
    </row>
    <row r="7" spans="1:6" s="356" customFormat="1" ht="15.75" customHeight="1">
      <c r="A7" s="364">
        <v>4</v>
      </c>
      <c r="B7" s="702" t="s">
        <v>43</v>
      </c>
      <c r="C7" s="362" t="s">
        <v>2</v>
      </c>
      <c r="D7" s="710">
        <v>11.5</v>
      </c>
      <c r="E7" s="364">
        <v>30000</v>
      </c>
      <c r="F7" s="281">
        <f t="shared" si="0"/>
        <v>345000</v>
      </c>
    </row>
    <row r="8" spans="1:6" ht="15.75" customHeight="1">
      <c r="A8" s="364">
        <v>5</v>
      </c>
      <c r="B8" s="702" t="s">
        <v>44</v>
      </c>
      <c r="C8" s="362" t="s">
        <v>12</v>
      </c>
      <c r="D8" s="281">
        <v>3070</v>
      </c>
      <c r="E8" s="281">
        <v>300</v>
      </c>
      <c r="F8" s="281">
        <f t="shared" si="0"/>
        <v>921000</v>
      </c>
    </row>
    <row r="9" spans="1:6" ht="15.75" customHeight="1">
      <c r="A9" s="364">
        <v>6</v>
      </c>
      <c r="B9" s="702" t="s">
        <v>313</v>
      </c>
      <c r="C9" s="362" t="s">
        <v>2</v>
      </c>
      <c r="D9" s="711">
        <v>6</v>
      </c>
      <c r="E9" s="281">
        <v>40000</v>
      </c>
      <c r="F9" s="281">
        <f t="shared" si="0"/>
        <v>240000</v>
      </c>
    </row>
    <row r="10" spans="1:6" ht="15.75" customHeight="1">
      <c r="A10" s="364">
        <v>7</v>
      </c>
      <c r="B10" s="702" t="s">
        <v>35</v>
      </c>
      <c r="C10" s="362" t="s">
        <v>37</v>
      </c>
      <c r="D10" s="281">
        <v>80</v>
      </c>
      <c r="E10" s="281">
        <v>7000</v>
      </c>
      <c r="F10" s="281">
        <f t="shared" si="0"/>
        <v>560000</v>
      </c>
    </row>
    <row r="11" spans="1:6" s="356" customFormat="1" ht="15.75" customHeight="1">
      <c r="A11" s="364">
        <v>8</v>
      </c>
      <c r="B11" s="702" t="s">
        <v>36</v>
      </c>
      <c r="C11" s="362" t="s">
        <v>37</v>
      </c>
      <c r="D11" s="364">
        <v>40</v>
      </c>
      <c r="E11" s="364">
        <v>11300</v>
      </c>
      <c r="F11" s="281">
        <f t="shared" si="0"/>
        <v>452000</v>
      </c>
    </row>
    <row r="12" spans="1:6" ht="15.75" customHeight="1">
      <c r="A12" s="364">
        <v>9</v>
      </c>
      <c r="B12" s="702" t="s">
        <v>46</v>
      </c>
      <c r="C12" s="362" t="s">
        <v>37</v>
      </c>
      <c r="D12" s="281">
        <v>32</v>
      </c>
      <c r="E12" s="281">
        <v>17300</v>
      </c>
      <c r="F12" s="281">
        <f t="shared" si="0"/>
        <v>553600</v>
      </c>
    </row>
    <row r="13" spans="1:6" s="384" customFormat="1" ht="15.75" customHeight="1">
      <c r="A13" s="364">
        <v>10</v>
      </c>
      <c r="B13" s="702" t="s">
        <v>45</v>
      </c>
      <c r="C13" s="362" t="s">
        <v>8</v>
      </c>
      <c r="D13" s="282">
        <v>10</v>
      </c>
      <c r="E13" s="282">
        <v>4000</v>
      </c>
      <c r="F13" s="281">
        <f t="shared" si="0"/>
        <v>40000</v>
      </c>
    </row>
    <row r="14" spans="1:6" s="384" customFormat="1" ht="15.75" customHeight="1">
      <c r="A14" s="364">
        <v>11</v>
      </c>
      <c r="B14" s="702" t="s">
        <v>567</v>
      </c>
      <c r="C14" s="362" t="s">
        <v>12</v>
      </c>
      <c r="D14" s="282">
        <v>172</v>
      </c>
      <c r="E14" s="282">
        <v>2000</v>
      </c>
      <c r="F14" s="281">
        <f t="shared" si="0"/>
        <v>344000</v>
      </c>
    </row>
    <row r="15" spans="1:6" s="384" customFormat="1" ht="15.75" customHeight="1">
      <c r="A15" s="364">
        <v>12</v>
      </c>
      <c r="B15" s="702" t="s">
        <v>594</v>
      </c>
      <c r="C15" s="362" t="s">
        <v>12</v>
      </c>
      <c r="D15" s="282">
        <v>100</v>
      </c>
      <c r="E15" s="282">
        <v>3500</v>
      </c>
      <c r="F15" s="281">
        <f t="shared" si="0"/>
        <v>350000</v>
      </c>
    </row>
    <row r="16" spans="1:6" s="384" customFormat="1" ht="15.75" customHeight="1">
      <c r="A16" s="364">
        <v>13</v>
      </c>
      <c r="B16" s="702" t="s">
        <v>186</v>
      </c>
      <c r="C16" s="362" t="s">
        <v>8</v>
      </c>
      <c r="D16" s="282">
        <v>5</v>
      </c>
      <c r="E16" s="282">
        <v>5000</v>
      </c>
      <c r="F16" s="281">
        <f t="shared" si="0"/>
        <v>25000</v>
      </c>
    </row>
    <row r="17" spans="1:8" s="384" customFormat="1" ht="15.75" customHeight="1">
      <c r="A17" s="364">
        <v>14</v>
      </c>
      <c r="B17" s="702" t="s">
        <v>188</v>
      </c>
      <c r="C17" s="362" t="s">
        <v>8</v>
      </c>
      <c r="D17" s="282">
        <v>10</v>
      </c>
      <c r="E17" s="282">
        <v>5000</v>
      </c>
      <c r="F17" s="281">
        <f t="shared" si="0"/>
        <v>50000</v>
      </c>
    </row>
    <row r="18" spans="1:8" s="384" customFormat="1" ht="15.75" customHeight="1">
      <c r="A18" s="364">
        <v>15</v>
      </c>
      <c r="B18" s="702" t="s">
        <v>568</v>
      </c>
      <c r="C18" s="362" t="s">
        <v>12</v>
      </c>
      <c r="D18" s="282">
        <v>20000</v>
      </c>
      <c r="E18" s="282">
        <v>70</v>
      </c>
      <c r="F18" s="281">
        <f t="shared" si="0"/>
        <v>1400000</v>
      </c>
    </row>
    <row r="19" spans="1:8" ht="15.75" customHeight="1">
      <c r="D19" s="848" t="s">
        <v>586</v>
      </c>
      <c r="E19" s="849"/>
      <c r="F19" s="281">
        <f>SUM(F4:F18)</f>
        <v>9984600</v>
      </c>
      <c r="H19" s="389"/>
    </row>
    <row r="20" spans="1:8" s="356" customFormat="1" ht="15.75" customHeight="1">
      <c r="A20" s="690"/>
      <c r="B20" s="701"/>
      <c r="D20" s="848" t="s">
        <v>587</v>
      </c>
      <c r="E20" s="849"/>
      <c r="F20" s="281">
        <v>2000000</v>
      </c>
    </row>
    <row r="21" spans="1:8" s="356" customFormat="1" ht="15.75" customHeight="1">
      <c r="A21" s="690"/>
      <c r="B21" s="701"/>
      <c r="D21" s="848" t="s">
        <v>588</v>
      </c>
      <c r="E21" s="849"/>
      <c r="F21" s="281">
        <v>3000000</v>
      </c>
    </row>
    <row r="22" spans="1:8" s="356" customFormat="1" ht="15.75" customHeight="1">
      <c r="A22" s="703"/>
      <c r="B22" s="701"/>
      <c r="D22" s="848" t="s">
        <v>589</v>
      </c>
      <c r="E22" s="849"/>
      <c r="F22" s="364">
        <v>1000000</v>
      </c>
    </row>
    <row r="23" spans="1:8" ht="15.75" customHeight="1">
      <c r="D23" s="843" t="s">
        <v>64</v>
      </c>
      <c r="E23" s="844"/>
      <c r="F23" s="715">
        <f>SUM(F19:F22)</f>
        <v>15984600</v>
      </c>
    </row>
    <row r="24" spans="1:8" ht="15.75" customHeight="1">
      <c r="D24" s="848" t="s">
        <v>590</v>
      </c>
      <c r="E24" s="849"/>
      <c r="F24" s="364">
        <v>17047565</v>
      </c>
    </row>
    <row r="25" spans="1:8" ht="15.75" customHeight="1">
      <c r="D25" s="843" t="s">
        <v>591</v>
      </c>
      <c r="E25" s="844"/>
      <c r="F25" s="715">
        <f>+F24-F23</f>
        <v>1062965</v>
      </c>
    </row>
    <row r="26" spans="1:8" s="356" customFormat="1" ht="15.75" customHeight="1">
      <c r="A26" s="690"/>
      <c r="B26" s="701"/>
      <c r="D26" s="712"/>
      <c r="E26" s="690"/>
      <c r="F26" s="690"/>
    </row>
    <row r="27" spans="1:8" s="356" customFormat="1" ht="18" customHeight="1">
      <c r="A27" s="690"/>
      <c r="B27" s="701"/>
      <c r="D27" s="712"/>
      <c r="E27" s="690"/>
      <c r="F27" s="690"/>
    </row>
    <row r="28" spans="1:8" s="356" customFormat="1" ht="18" customHeight="1">
      <c r="A28" s="690"/>
      <c r="B28" s="701"/>
      <c r="D28" s="712"/>
      <c r="E28" s="690"/>
      <c r="F28" s="690"/>
    </row>
    <row r="29" spans="1:8" ht="18" customHeight="1">
      <c r="A29" s="703"/>
    </row>
    <row r="30" spans="1:8" ht="18" customHeight="1"/>
    <row r="31" spans="1:8" ht="18" customHeight="1"/>
    <row r="32" spans="1:8" ht="18" customHeight="1"/>
    <row r="33" spans="1:6" ht="18" customHeight="1"/>
    <row r="34" spans="1:6" ht="18" customHeight="1"/>
    <row r="35" spans="1:6" ht="18" customHeight="1"/>
    <row r="36" spans="1:6" s="356" customFormat="1" ht="18" customHeight="1">
      <c r="A36" s="690"/>
      <c r="B36" s="701"/>
      <c r="D36" s="712"/>
      <c r="E36" s="690"/>
      <c r="F36" s="690"/>
    </row>
    <row r="40" spans="1:6" ht="25.5" customHeight="1"/>
    <row r="41" spans="1:6" s="384" customFormat="1" ht="18" customHeight="1">
      <c r="A41" s="690"/>
      <c r="B41" s="701"/>
      <c r="C41" s="356"/>
      <c r="D41" s="713"/>
      <c r="E41" s="408"/>
      <c r="F41" s="408"/>
    </row>
    <row r="42" spans="1:6" s="384" customFormat="1" ht="18" customHeight="1">
      <c r="A42" s="703"/>
      <c r="B42" s="701"/>
      <c r="C42" s="356"/>
      <c r="D42" s="713"/>
      <c r="E42" s="408"/>
      <c r="F42" s="408"/>
    </row>
    <row r="43" spans="1:6" ht="24" customHeight="1">
      <c r="A43" s="703"/>
    </row>
    <row r="44" spans="1:6" ht="15" customHeight="1"/>
    <row r="45" spans="1:6" ht="15" customHeight="1"/>
    <row r="46" spans="1:6" ht="15" customHeight="1"/>
    <row r="47" spans="1:6" s="356" customFormat="1" ht="18" customHeight="1">
      <c r="A47" s="690"/>
      <c r="B47" s="701"/>
      <c r="D47" s="712"/>
      <c r="E47" s="690"/>
      <c r="F47" s="690"/>
    </row>
    <row r="48" spans="1:6" ht="27" customHeight="1"/>
    <row r="49" spans="1:6" ht="27" customHeight="1"/>
    <row r="50" spans="1:6" ht="27" customHeight="1"/>
    <row r="51" spans="1:6" ht="24" customHeight="1">
      <c r="A51" s="703"/>
    </row>
    <row r="52" spans="1:6" ht="15" customHeight="1"/>
    <row r="53" spans="1:6" ht="15" customHeight="1"/>
    <row r="54" spans="1:6" ht="15" customHeight="1"/>
    <row r="55" spans="1:6" s="356" customFormat="1" ht="18" customHeight="1">
      <c r="A55" s="690"/>
      <c r="B55" s="701"/>
      <c r="D55" s="712"/>
      <c r="E55" s="690"/>
      <c r="F55" s="690"/>
    </row>
    <row r="56" spans="1:6" ht="27" customHeight="1"/>
    <row r="57" spans="1:6" ht="24" customHeight="1">
      <c r="A57" s="703"/>
    </row>
    <row r="58" spans="1:6" ht="15" customHeight="1"/>
    <row r="59" spans="1:6" ht="15" customHeight="1"/>
    <row r="60" spans="1:6" ht="15" customHeight="1"/>
    <row r="61" spans="1:6" s="356" customFormat="1" ht="18" customHeight="1">
      <c r="A61" s="690"/>
      <c r="B61" s="701"/>
      <c r="D61" s="712"/>
      <c r="E61" s="690"/>
      <c r="F61" s="690"/>
    </row>
    <row r="62" spans="1:6" s="356" customFormat="1" ht="18" customHeight="1">
      <c r="A62" s="690"/>
      <c r="B62" s="701"/>
      <c r="D62" s="712"/>
      <c r="E62" s="690"/>
      <c r="F62" s="690"/>
    </row>
    <row r="63" spans="1:6" s="356" customFormat="1" ht="27" customHeight="1">
      <c r="A63" s="690"/>
      <c r="B63" s="701"/>
      <c r="D63" s="712"/>
      <c r="E63" s="690"/>
      <c r="F63" s="690"/>
    </row>
    <row r="64" spans="1:6" s="356" customFormat="1" ht="27" customHeight="1">
      <c r="A64" s="690"/>
      <c r="B64" s="701"/>
      <c r="D64" s="712"/>
      <c r="E64" s="690"/>
      <c r="F64" s="690"/>
    </row>
    <row r="65" spans="1:6" ht="27" customHeight="1"/>
    <row r="66" spans="1:6" ht="27" customHeight="1"/>
    <row r="67" spans="1:6" ht="24" customHeight="1"/>
    <row r="68" spans="1:6" ht="15" customHeight="1"/>
    <row r="69" spans="1:6" ht="15" customHeight="1"/>
    <row r="70" spans="1:6" ht="15" customHeight="1"/>
    <row r="71" spans="1:6" s="356" customFormat="1" ht="18" customHeight="1">
      <c r="A71" s="690"/>
      <c r="B71" s="701"/>
      <c r="D71" s="712"/>
      <c r="E71" s="690"/>
      <c r="F71" s="690"/>
    </row>
    <row r="72" spans="1:6" s="384" customFormat="1" ht="18.75" customHeight="1">
      <c r="A72" s="690"/>
      <c r="B72" s="701"/>
      <c r="C72" s="356"/>
      <c r="D72" s="713"/>
      <c r="E72" s="408"/>
      <c r="F72" s="408"/>
    </row>
    <row r="73" spans="1:6" ht="24" customHeight="1"/>
    <row r="74" spans="1:6" ht="15" customHeight="1"/>
    <row r="75" spans="1:6" ht="15" customHeight="1"/>
    <row r="76" spans="1:6" ht="15" customHeight="1"/>
    <row r="77" spans="1:6" s="356" customFormat="1" ht="18" customHeight="1">
      <c r="A77" s="690"/>
      <c r="B77" s="701"/>
      <c r="D77" s="712"/>
      <c r="E77" s="690"/>
      <c r="F77" s="690"/>
    </row>
    <row r="78" spans="1:6" s="384" customFormat="1" ht="18" customHeight="1">
      <c r="A78" s="690"/>
      <c r="B78" s="701"/>
      <c r="C78" s="356"/>
      <c r="D78" s="713"/>
      <c r="E78" s="408"/>
      <c r="F78" s="408"/>
    </row>
    <row r="79" spans="1:6" ht="24" customHeight="1"/>
    <row r="80" spans="1:6">
      <c r="B80" s="707"/>
    </row>
    <row r="81" spans="1:11">
      <c r="A81" s="691"/>
      <c r="B81" s="714"/>
    </row>
    <row r="83" spans="1:11" ht="18" customHeight="1"/>
    <row r="84" spans="1:11" ht="18" customHeight="1"/>
    <row r="85" spans="1:11" ht="18" customHeight="1"/>
    <row r="86" spans="1:11" ht="18" customHeight="1"/>
    <row r="87" spans="1:11" ht="18" customHeight="1"/>
    <row r="88" spans="1:11" ht="18" customHeight="1"/>
    <row r="89" spans="1:11" s="357" customFormat="1" ht="18" customHeight="1">
      <c r="A89" s="690"/>
      <c r="B89" s="701"/>
      <c r="C89" s="356"/>
      <c r="D89" s="708"/>
      <c r="G89" s="353"/>
      <c r="H89" s="353"/>
      <c r="I89" s="353"/>
      <c r="J89" s="353"/>
      <c r="K89" s="353"/>
    </row>
    <row r="90" spans="1:11" s="357" customFormat="1" ht="18" customHeight="1">
      <c r="A90" s="690"/>
      <c r="B90" s="701"/>
      <c r="C90" s="356"/>
      <c r="D90" s="708"/>
      <c r="G90" s="353"/>
      <c r="H90" s="353"/>
      <c r="I90" s="353"/>
      <c r="J90" s="353"/>
      <c r="K90" s="353"/>
    </row>
    <row r="91" spans="1:11" s="357" customFormat="1" ht="18" customHeight="1">
      <c r="A91" s="690"/>
      <c r="B91" s="701"/>
      <c r="C91" s="356"/>
      <c r="D91" s="708"/>
      <c r="G91" s="353"/>
      <c r="H91" s="353"/>
      <c r="I91" s="353"/>
      <c r="J91" s="353"/>
      <c r="K91" s="353"/>
    </row>
    <row r="92" spans="1:11" s="357" customFormat="1" ht="18" customHeight="1">
      <c r="A92" s="690"/>
      <c r="B92" s="701"/>
      <c r="C92" s="356"/>
      <c r="D92" s="708"/>
      <c r="G92" s="353"/>
      <c r="H92" s="353"/>
      <c r="I92" s="353"/>
      <c r="J92" s="353"/>
      <c r="K92" s="353"/>
    </row>
    <row r="93" spans="1:11" s="357" customFormat="1" ht="26.25" customHeight="1">
      <c r="A93" s="690"/>
      <c r="B93" s="701"/>
      <c r="C93" s="356"/>
      <c r="D93" s="708"/>
      <c r="G93" s="353"/>
      <c r="H93" s="353"/>
      <c r="I93" s="353"/>
      <c r="J93" s="353"/>
      <c r="K93" s="353"/>
    </row>
    <row r="94" spans="1:11" s="357" customFormat="1" ht="20.25" customHeight="1">
      <c r="A94" s="690"/>
      <c r="B94" s="701"/>
      <c r="C94" s="356"/>
      <c r="D94" s="708"/>
      <c r="G94" s="353"/>
      <c r="H94" s="353"/>
      <c r="I94" s="353"/>
      <c r="J94" s="353"/>
      <c r="K94" s="353"/>
    </row>
    <row r="96" spans="1:11" s="357" customFormat="1" ht="27.75" customHeight="1">
      <c r="A96" s="690"/>
      <c r="B96" s="701"/>
      <c r="C96" s="356"/>
      <c r="D96" s="708"/>
      <c r="G96" s="353"/>
      <c r="H96" s="353"/>
      <c r="I96" s="353"/>
      <c r="J96" s="353"/>
      <c r="K96" s="353"/>
    </row>
    <row r="97" spans="1:11" s="357" customFormat="1" ht="18" customHeight="1">
      <c r="A97" s="690"/>
      <c r="B97" s="701"/>
      <c r="C97" s="356"/>
      <c r="D97" s="708"/>
      <c r="G97" s="353"/>
      <c r="H97" s="353"/>
      <c r="I97" s="353"/>
      <c r="J97" s="353"/>
      <c r="K97" s="353"/>
    </row>
    <row r="98" spans="1:11" s="357" customFormat="1" ht="57.75" customHeight="1">
      <c r="A98" s="690"/>
      <c r="B98" s="701"/>
      <c r="C98" s="356"/>
      <c r="D98" s="708"/>
      <c r="G98" s="353"/>
      <c r="H98" s="353"/>
      <c r="I98" s="353"/>
      <c r="J98" s="353"/>
      <c r="K98" s="353"/>
    </row>
    <row r="99" spans="1:11" s="357" customFormat="1">
      <c r="A99" s="690"/>
      <c r="B99" s="701"/>
      <c r="C99" s="690"/>
      <c r="D99" s="708"/>
    </row>
    <row r="100" spans="1:11" s="357" customFormat="1">
      <c r="A100" s="690"/>
      <c r="B100" s="701"/>
      <c r="C100" s="690"/>
      <c r="D100" s="708"/>
    </row>
  </sheetData>
  <mergeCells count="8">
    <mergeCell ref="D24:E24"/>
    <mergeCell ref="D25:E25"/>
    <mergeCell ref="A1:F1"/>
    <mergeCell ref="D19:E19"/>
    <mergeCell ref="D20:E20"/>
    <mergeCell ref="D21:E21"/>
    <mergeCell ref="D22:E22"/>
    <mergeCell ref="D23:E23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0"/>
  <sheetViews>
    <sheetView zoomScale="98" zoomScaleNormal="98" workbookViewId="0">
      <selection activeCell="K13" sqref="K13"/>
    </sheetView>
  </sheetViews>
  <sheetFormatPr baseColWidth="10" defaultRowHeight="12.75"/>
  <cols>
    <col min="1" max="1" width="9.7109375" style="3" customWidth="1"/>
    <col min="2" max="2" width="26" style="1" customWidth="1"/>
    <col min="3" max="4" width="8.42578125" style="3" customWidth="1"/>
    <col min="5" max="5" width="17.5703125" style="3" customWidth="1"/>
    <col min="6" max="6" width="7.7109375" style="3" customWidth="1"/>
    <col min="7" max="7" width="10.42578125" style="6" customWidth="1"/>
    <col min="8" max="9" width="11.140625" style="35" customWidth="1"/>
    <col min="10" max="10" width="14.28515625" style="35" customWidth="1"/>
    <col min="11" max="11" width="12.85546875" style="6" bestFit="1" customWidth="1"/>
    <col min="12" max="12" width="7.85546875" style="606" customWidth="1"/>
    <col min="13" max="13" width="13.5703125" style="606" customWidth="1"/>
    <col min="14" max="14" width="7.85546875" style="132" customWidth="1"/>
    <col min="15" max="15" width="7.85546875" style="6" customWidth="1"/>
    <col min="16" max="16" width="11.42578125" style="123"/>
    <col min="17" max="16384" width="11.42578125" style="1"/>
  </cols>
  <sheetData>
    <row r="1" spans="1:16" ht="16.5" customHeight="1">
      <c r="A1" s="783" t="s">
        <v>510</v>
      </c>
      <c r="B1" s="783"/>
      <c r="C1" s="783"/>
      <c r="D1" s="783"/>
      <c r="E1" s="783"/>
      <c r="F1" s="783"/>
      <c r="G1" s="783"/>
      <c r="H1" s="783"/>
      <c r="I1" s="783"/>
      <c r="J1" s="716"/>
    </row>
    <row r="2" spans="1:16" ht="16.5" customHeight="1">
      <c r="A2" s="783" t="s">
        <v>208</v>
      </c>
      <c r="B2" s="783"/>
      <c r="C2" s="783"/>
      <c r="D2" s="783"/>
      <c r="E2" s="783"/>
      <c r="F2" s="783"/>
      <c r="G2" s="783"/>
      <c r="H2" s="783"/>
      <c r="I2" s="783"/>
      <c r="J2" s="716"/>
    </row>
    <row r="3" spans="1:16" ht="16.5" customHeight="1">
      <c r="A3" s="784" t="s">
        <v>209</v>
      </c>
      <c r="B3" s="784"/>
      <c r="C3" s="784"/>
      <c r="D3" s="784"/>
      <c r="E3" s="784"/>
      <c r="F3" s="784"/>
      <c r="G3" s="784"/>
      <c r="H3" s="784"/>
      <c r="I3" s="784"/>
      <c r="J3" s="717"/>
    </row>
    <row r="4" spans="1:16" ht="16.5" customHeight="1">
      <c r="A4" s="717"/>
      <c r="B4" s="717"/>
      <c r="C4" s="717"/>
      <c r="D4" s="717"/>
      <c r="E4" s="717"/>
      <c r="F4" s="717"/>
      <c r="G4" s="717"/>
      <c r="H4" s="717"/>
      <c r="I4" s="717"/>
      <c r="J4" s="717"/>
    </row>
    <row r="5" spans="1:16" ht="18" customHeight="1">
      <c r="A5" s="772" t="s">
        <v>251</v>
      </c>
      <c r="B5" s="772"/>
      <c r="C5" s="4"/>
      <c r="D5" s="259"/>
      <c r="E5" s="63"/>
      <c r="F5" s="65"/>
      <c r="G5" s="66"/>
      <c r="H5" s="83"/>
      <c r="I5" s="83"/>
      <c r="J5" s="83"/>
    </row>
    <row r="6" spans="1:16" ht="18" customHeight="1">
      <c r="A6" s="718"/>
      <c r="B6" s="718"/>
      <c r="C6" s="4"/>
      <c r="D6" s="259"/>
      <c r="E6" s="63"/>
      <c r="F6" s="65"/>
      <c r="G6" s="66"/>
      <c r="H6" s="83"/>
      <c r="I6" s="83"/>
      <c r="J6" s="83"/>
    </row>
    <row r="7" spans="1:16" s="3" customFormat="1" ht="18" customHeight="1">
      <c r="A7" s="20" t="s">
        <v>30</v>
      </c>
      <c r="B7" s="20" t="s">
        <v>31</v>
      </c>
      <c r="C7" s="20" t="s">
        <v>12</v>
      </c>
      <c r="D7" s="20" t="s">
        <v>32</v>
      </c>
      <c r="E7" s="20" t="s">
        <v>34</v>
      </c>
      <c r="F7" s="20" t="s">
        <v>12</v>
      </c>
      <c r="G7" s="36" t="s">
        <v>32</v>
      </c>
      <c r="H7" s="37" t="s">
        <v>40</v>
      </c>
      <c r="I7" s="37" t="s">
        <v>33</v>
      </c>
      <c r="J7" s="613"/>
      <c r="K7" s="187"/>
      <c r="L7" s="607"/>
      <c r="M7" s="607"/>
      <c r="N7" s="132"/>
      <c r="O7" s="187"/>
      <c r="P7" s="599"/>
    </row>
    <row r="8" spans="1:16" s="132" customFormat="1" ht="18.75" customHeight="1">
      <c r="A8" s="77" t="s">
        <v>262</v>
      </c>
      <c r="B8" s="289" t="s">
        <v>270</v>
      </c>
      <c r="C8" s="78" t="s">
        <v>12</v>
      </c>
      <c r="D8" s="120">
        <v>1</v>
      </c>
      <c r="E8" s="104"/>
      <c r="F8" s="21"/>
      <c r="G8" s="109"/>
      <c r="H8" s="118"/>
      <c r="I8" s="118"/>
      <c r="J8" s="209"/>
      <c r="K8" s="188"/>
      <c r="L8" s="608"/>
      <c r="M8" s="608"/>
      <c r="O8" s="188"/>
      <c r="P8" s="600"/>
    </row>
    <row r="9" spans="1:16" s="132" customFormat="1" ht="18.75" customHeight="1">
      <c r="A9" s="108"/>
      <c r="B9" s="90"/>
      <c r="C9" s="89"/>
      <c r="D9" s="30"/>
      <c r="E9" s="39" t="s">
        <v>106</v>
      </c>
      <c r="F9" s="27" t="s">
        <v>23</v>
      </c>
      <c r="G9" s="110">
        <v>10</v>
      </c>
      <c r="H9" s="79">
        <v>23000</v>
      </c>
      <c r="I9" s="79">
        <f>G9*H9</f>
        <v>230000</v>
      </c>
      <c r="J9" s="209"/>
      <c r="K9" s="188"/>
      <c r="L9" s="608"/>
      <c r="M9" s="608"/>
      <c r="O9" s="188"/>
      <c r="P9" s="600"/>
    </row>
    <row r="10" spans="1:16" s="132" customFormat="1" ht="18.75" customHeight="1">
      <c r="A10" s="108"/>
      <c r="B10" s="90"/>
      <c r="C10" s="89"/>
      <c r="D10" s="30"/>
      <c r="E10" s="39" t="s">
        <v>42</v>
      </c>
      <c r="F10" s="27" t="s">
        <v>2</v>
      </c>
      <c r="G10" s="246">
        <v>4.5</v>
      </c>
      <c r="H10" s="79">
        <v>8000</v>
      </c>
      <c r="I10" s="79">
        <f t="shared" ref="I10:I19" si="0">G10*H10</f>
        <v>36000</v>
      </c>
      <c r="J10" s="209"/>
      <c r="K10" s="188"/>
      <c r="L10" s="608"/>
      <c r="M10" s="608"/>
      <c r="O10" s="188"/>
      <c r="P10" s="600"/>
    </row>
    <row r="11" spans="1:16" s="132" customFormat="1" ht="18.75" customHeight="1">
      <c r="A11" s="108"/>
      <c r="B11" s="90"/>
      <c r="C11" s="89"/>
      <c r="D11" s="30"/>
      <c r="E11" s="39" t="s">
        <v>348</v>
      </c>
      <c r="F11" s="27" t="s">
        <v>2</v>
      </c>
      <c r="G11" s="246">
        <v>3.5</v>
      </c>
      <c r="H11" s="79">
        <v>40000</v>
      </c>
      <c r="I11" s="79">
        <f t="shared" si="0"/>
        <v>140000</v>
      </c>
      <c r="J11" s="209"/>
      <c r="K11" s="188"/>
      <c r="L11" s="608"/>
      <c r="M11" s="608"/>
      <c r="O11" s="188"/>
      <c r="P11" s="600"/>
    </row>
    <row r="12" spans="1:16" s="132" customFormat="1" ht="18.75" customHeight="1">
      <c r="A12" s="108"/>
      <c r="B12" s="90"/>
      <c r="C12" s="89"/>
      <c r="D12" s="30"/>
      <c r="E12" s="39" t="s">
        <v>44</v>
      </c>
      <c r="F12" s="27" t="s">
        <v>12</v>
      </c>
      <c r="G12" s="249">
        <v>400</v>
      </c>
      <c r="H12" s="79">
        <v>400</v>
      </c>
      <c r="I12" s="79">
        <f t="shared" si="0"/>
        <v>160000</v>
      </c>
      <c r="J12" s="209"/>
      <c r="K12" s="188"/>
      <c r="L12" s="608"/>
      <c r="M12" s="608"/>
      <c r="O12" s="188"/>
      <c r="P12" s="600"/>
    </row>
    <row r="13" spans="1:16" s="132" customFormat="1" ht="18.75" customHeight="1">
      <c r="A13" s="108"/>
      <c r="B13" s="90"/>
      <c r="C13" s="89"/>
      <c r="D13" s="30"/>
      <c r="E13" s="39" t="s">
        <v>38</v>
      </c>
      <c r="F13" s="27" t="s">
        <v>2</v>
      </c>
      <c r="G13" s="246">
        <v>2</v>
      </c>
      <c r="H13" s="79">
        <v>50000</v>
      </c>
      <c r="I13" s="79">
        <f t="shared" si="0"/>
        <v>100000</v>
      </c>
      <c r="J13" s="209"/>
      <c r="K13" s="188"/>
      <c r="L13" s="608"/>
      <c r="M13" s="608"/>
      <c r="O13" s="188"/>
      <c r="P13" s="600"/>
    </row>
    <row r="14" spans="1:16" s="132" customFormat="1" ht="18.75" customHeight="1">
      <c r="A14" s="108"/>
      <c r="B14" s="90"/>
      <c r="C14" s="89"/>
      <c r="D14" s="30"/>
      <c r="E14" s="39" t="s">
        <v>313</v>
      </c>
      <c r="F14" s="27" t="s">
        <v>2</v>
      </c>
      <c r="G14" s="246">
        <v>2</v>
      </c>
      <c r="H14" s="79">
        <v>40000</v>
      </c>
      <c r="I14" s="79">
        <f t="shared" si="0"/>
        <v>80000</v>
      </c>
      <c r="J14" s="209"/>
      <c r="K14" s="188"/>
      <c r="L14" s="608"/>
      <c r="M14" s="608"/>
      <c r="O14" s="188"/>
      <c r="P14" s="600"/>
    </row>
    <row r="15" spans="1:16" s="132" customFormat="1" ht="18.75" customHeight="1">
      <c r="A15" s="108"/>
      <c r="B15" s="90"/>
      <c r="C15" s="89"/>
      <c r="D15" s="30"/>
      <c r="E15" s="55" t="s">
        <v>347</v>
      </c>
      <c r="F15" s="27" t="s">
        <v>37</v>
      </c>
      <c r="G15" s="110">
        <v>6</v>
      </c>
      <c r="H15" s="79">
        <v>17300</v>
      </c>
      <c r="I15" s="79">
        <f t="shared" si="0"/>
        <v>103800</v>
      </c>
      <c r="J15" s="209"/>
      <c r="K15" s="188"/>
      <c r="L15" s="608"/>
      <c r="M15" s="608"/>
      <c r="O15" s="188"/>
      <c r="P15" s="600"/>
    </row>
    <row r="16" spans="1:16" s="132" customFormat="1" ht="18.75" customHeight="1">
      <c r="A16" s="108"/>
      <c r="B16" s="90"/>
      <c r="C16" s="89"/>
      <c r="D16" s="30"/>
      <c r="E16" s="55" t="s">
        <v>45</v>
      </c>
      <c r="F16" s="27" t="s">
        <v>8</v>
      </c>
      <c r="G16" s="110">
        <v>0.5</v>
      </c>
      <c r="H16" s="79">
        <v>5000</v>
      </c>
      <c r="I16" s="79">
        <f t="shared" si="0"/>
        <v>2500</v>
      </c>
      <c r="J16" s="209"/>
      <c r="K16" s="188"/>
      <c r="L16" s="608"/>
      <c r="M16" s="608"/>
      <c r="O16" s="188"/>
      <c r="P16" s="600"/>
    </row>
    <row r="17" spans="1:16" s="132" customFormat="1" ht="25.5" customHeight="1">
      <c r="A17" s="108"/>
      <c r="B17" s="90"/>
      <c r="C17" s="89"/>
      <c r="D17" s="30"/>
      <c r="E17" s="50" t="s">
        <v>314</v>
      </c>
      <c r="F17" s="27" t="s">
        <v>12</v>
      </c>
      <c r="G17" s="110">
        <v>10</v>
      </c>
      <c r="H17" s="79">
        <v>4000</v>
      </c>
      <c r="I17" s="79">
        <f t="shared" si="0"/>
        <v>40000</v>
      </c>
      <c r="J17" s="209"/>
      <c r="K17" s="188"/>
      <c r="L17" s="608"/>
      <c r="M17" s="608"/>
      <c r="O17" s="188"/>
      <c r="P17" s="600"/>
    </row>
    <row r="18" spans="1:16" s="132" customFormat="1" ht="27" customHeight="1">
      <c r="A18" s="108"/>
      <c r="B18" s="90"/>
      <c r="C18" s="89"/>
      <c r="D18" s="30"/>
      <c r="E18" s="50" t="s">
        <v>62</v>
      </c>
      <c r="F18" s="27" t="s">
        <v>12</v>
      </c>
      <c r="G18" s="6">
        <v>5</v>
      </c>
      <c r="H18" s="40">
        <v>4000</v>
      </c>
      <c r="I18" s="79">
        <f t="shared" si="0"/>
        <v>20000</v>
      </c>
      <c r="J18" s="209"/>
      <c r="K18" s="188"/>
      <c r="L18" s="608"/>
      <c r="M18" s="608"/>
      <c r="O18" s="188"/>
      <c r="P18" s="600"/>
    </row>
    <row r="19" spans="1:16" s="132" customFormat="1" ht="18.75" customHeight="1">
      <c r="A19" s="316"/>
      <c r="B19" s="75"/>
      <c r="C19" s="93"/>
      <c r="D19" s="31"/>
      <c r="E19" s="52" t="s">
        <v>77</v>
      </c>
      <c r="F19" s="23" t="s">
        <v>8</v>
      </c>
      <c r="G19" s="245">
        <v>1</v>
      </c>
      <c r="H19" s="47">
        <v>5000</v>
      </c>
      <c r="I19" s="47">
        <f t="shared" si="0"/>
        <v>5000</v>
      </c>
      <c r="J19" s="209"/>
      <c r="K19" s="188"/>
      <c r="L19" s="608"/>
      <c r="M19" s="608"/>
      <c r="O19" s="188"/>
      <c r="P19" s="600"/>
    </row>
    <row r="20" spans="1:16" s="132" customFormat="1" ht="29.25" customHeight="1">
      <c r="A20" s="317"/>
      <c r="B20" s="88"/>
      <c r="C20" s="273"/>
      <c r="D20" s="259"/>
      <c r="E20" s="49"/>
      <c r="F20" s="769" t="s">
        <v>132</v>
      </c>
      <c r="G20" s="770"/>
      <c r="H20" s="771"/>
      <c r="I20" s="271">
        <f>SUM(I8:I19)</f>
        <v>917300</v>
      </c>
      <c r="J20" s="616"/>
      <c r="K20" s="188"/>
      <c r="L20" s="608"/>
      <c r="M20" s="608"/>
      <c r="O20" s="188"/>
      <c r="P20" s="600"/>
    </row>
  </sheetData>
  <autoFilter ref="A1:I4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5">
    <mergeCell ref="A5:B5"/>
    <mergeCell ref="F20:H20"/>
    <mergeCell ref="A1:I1"/>
    <mergeCell ref="A2:I2"/>
    <mergeCell ref="A3:I3"/>
  </mergeCells>
  <pageMargins left="0.85" right="0.43307086614173229" top="0.27559055118110237" bottom="0.31496062992125984" header="0.27559055118110237" footer="0.31496062992125984"/>
  <pageSetup paperSize="9" scale="80" orientation="landscape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22" workbookViewId="0">
      <selection activeCell="H34" sqref="H34"/>
    </sheetView>
  </sheetViews>
  <sheetFormatPr baseColWidth="10" defaultRowHeight="12.75"/>
  <cols>
    <col min="1" max="1" width="10.7109375" style="356" customWidth="1"/>
    <col min="2" max="2" width="44.42578125" style="353" customWidth="1"/>
    <col min="3" max="3" width="7.7109375" style="356" customWidth="1"/>
    <col min="4" max="4" width="11.5703125" style="743" customWidth="1"/>
    <col min="5" max="5" width="12.42578125" style="357" customWidth="1"/>
    <col min="6" max="6" width="14.28515625" style="357" customWidth="1"/>
    <col min="7" max="7" width="13.140625" style="357" customWidth="1"/>
    <col min="8" max="8" width="12.7109375" style="357" customWidth="1"/>
    <col min="9" max="11" width="8.85546875" style="353" customWidth="1"/>
    <col min="12" max="16384" width="11.42578125" style="353"/>
  </cols>
  <sheetData>
    <row r="1" spans="1:8" ht="16.5" customHeight="1">
      <c r="A1" s="806" t="s">
        <v>549</v>
      </c>
      <c r="B1" s="806"/>
      <c r="C1" s="806"/>
      <c r="D1" s="806"/>
      <c r="E1" s="806"/>
      <c r="F1" s="806"/>
    </row>
    <row r="2" spans="1:8" ht="16.5" customHeight="1">
      <c r="A2" s="806" t="s">
        <v>562</v>
      </c>
      <c r="B2" s="806"/>
      <c r="C2" s="806"/>
      <c r="D2" s="806"/>
      <c r="E2" s="806"/>
      <c r="F2" s="806"/>
    </row>
    <row r="3" spans="1:8" ht="15" customHeight="1">
      <c r="A3" s="352"/>
      <c r="B3" s="352"/>
      <c r="C3" s="352"/>
      <c r="D3" s="742"/>
      <c r="E3" s="352"/>
      <c r="F3" s="352"/>
    </row>
    <row r="4" spans="1:8" ht="15" customHeight="1">
      <c r="A4" s="804" t="s">
        <v>68</v>
      </c>
      <c r="B4" s="804"/>
      <c r="C4" s="355"/>
    </row>
    <row r="5" spans="1:8" ht="15" customHeight="1"/>
    <row r="6" spans="1:8" s="356" customFormat="1" ht="18" customHeight="1">
      <c r="A6" s="358" t="s">
        <v>30</v>
      </c>
      <c r="B6" s="358" t="s">
        <v>31</v>
      </c>
      <c r="C6" s="358" t="s">
        <v>12</v>
      </c>
      <c r="D6" s="744" t="s">
        <v>32</v>
      </c>
      <c r="E6" s="359" t="s">
        <v>40</v>
      </c>
      <c r="F6" s="359" t="s">
        <v>33</v>
      </c>
      <c r="G6" s="690"/>
      <c r="H6" s="690"/>
    </row>
    <row r="7" spans="1:8" s="356" customFormat="1" ht="18" customHeight="1">
      <c r="A7" s="360" t="s">
        <v>0</v>
      </c>
      <c r="B7" s="361" t="s">
        <v>210</v>
      </c>
      <c r="C7" s="362" t="s">
        <v>2</v>
      </c>
      <c r="D7" s="732">
        <f>+'METRE ANTSIRABE'!F4</f>
        <v>1078</v>
      </c>
      <c r="E7" s="364">
        <v>4000</v>
      </c>
      <c r="F7" s="364">
        <f>D7*E7</f>
        <v>4312000</v>
      </c>
      <c r="G7" s="690"/>
      <c r="H7" s="690"/>
    </row>
    <row r="8" spans="1:8" ht="24" customHeight="1">
      <c r="A8" s="807" t="s">
        <v>92</v>
      </c>
      <c r="B8" s="808"/>
      <c r="C8" s="808"/>
      <c r="D8" s="808"/>
      <c r="E8" s="809"/>
      <c r="F8" s="365">
        <f>SUM(F7:F7)</f>
        <v>4312000</v>
      </c>
    </row>
    <row r="9" spans="1:8" ht="15" customHeight="1">
      <c r="A9" s="368"/>
      <c r="B9" s="369"/>
      <c r="C9" s="370"/>
      <c r="D9" s="745"/>
      <c r="E9" s="372"/>
      <c r="F9" s="373"/>
    </row>
    <row r="10" spans="1:8" ht="15" customHeight="1">
      <c r="A10" s="810" t="s">
        <v>551</v>
      </c>
      <c r="B10" s="810"/>
      <c r="C10" s="810"/>
      <c r="D10" s="810"/>
      <c r="E10" s="372"/>
      <c r="F10" s="374"/>
    </row>
    <row r="11" spans="1:8" ht="15" customHeight="1">
      <c r="A11" s="368"/>
      <c r="B11" s="369"/>
      <c r="C11" s="370"/>
      <c r="D11" s="745"/>
      <c r="E11" s="372"/>
      <c r="F11" s="374"/>
    </row>
    <row r="12" spans="1:8" s="356" customFormat="1" ht="18" customHeight="1">
      <c r="A12" s="358" t="s">
        <v>30</v>
      </c>
      <c r="B12" s="358" t="s">
        <v>31</v>
      </c>
      <c r="C12" s="358" t="s">
        <v>12</v>
      </c>
      <c r="D12" s="744" t="s">
        <v>32</v>
      </c>
      <c r="E12" s="359" t="s">
        <v>40</v>
      </c>
      <c r="F12" s="359" t="s">
        <v>33</v>
      </c>
      <c r="G12" s="690"/>
      <c r="H12" s="690"/>
    </row>
    <row r="13" spans="1:8" ht="27" customHeight="1">
      <c r="A13" s="375" t="s">
        <v>3</v>
      </c>
      <c r="B13" s="376" t="s">
        <v>411</v>
      </c>
      <c r="C13" s="377" t="s">
        <v>2</v>
      </c>
      <c r="D13" s="746">
        <f>+'METRE ANTSIRABE'!F7</f>
        <v>38.5</v>
      </c>
      <c r="E13" s="379">
        <v>260000</v>
      </c>
      <c r="F13" s="281">
        <f>+D13*E13</f>
        <v>10010000</v>
      </c>
    </row>
    <row r="14" spans="1:8" ht="39.75" customHeight="1">
      <c r="A14" s="375" t="s">
        <v>6</v>
      </c>
      <c r="B14" s="380" t="s">
        <v>563</v>
      </c>
      <c r="C14" s="362" t="s">
        <v>2</v>
      </c>
      <c r="D14" s="728">
        <f>+'METRE ANTSIRABE'!H26</f>
        <v>205.50400000000002</v>
      </c>
      <c r="E14" s="281">
        <v>411200</v>
      </c>
      <c r="F14" s="281">
        <f t="shared" ref="F14:F18" si="0">+D14*E14</f>
        <v>84503244.800000012</v>
      </c>
    </row>
    <row r="15" spans="1:8" ht="27" customHeight="1">
      <c r="A15" s="375" t="s">
        <v>17</v>
      </c>
      <c r="B15" s="376" t="s">
        <v>218</v>
      </c>
      <c r="C15" s="377" t="s">
        <v>18</v>
      </c>
      <c r="D15" s="729">
        <f>+'METRE ANTSIRABE'!F40</f>
        <v>16440.32</v>
      </c>
      <c r="E15" s="387">
        <v>5500</v>
      </c>
      <c r="F15" s="281">
        <f t="shared" si="0"/>
        <v>90421760</v>
      </c>
    </row>
    <row r="16" spans="1:8" ht="18" customHeight="1">
      <c r="A16" s="360" t="s">
        <v>19</v>
      </c>
      <c r="B16" s="380" t="s">
        <v>219</v>
      </c>
      <c r="C16" s="362" t="s">
        <v>1</v>
      </c>
      <c r="D16" s="730">
        <f>+'METRE ANTSIRABE'!H37</f>
        <v>646.40000000000009</v>
      </c>
      <c r="E16" s="282">
        <v>11500</v>
      </c>
      <c r="F16" s="281">
        <f t="shared" si="0"/>
        <v>7433600.0000000009</v>
      </c>
    </row>
    <row r="17" spans="1:8" ht="25.5">
      <c r="A17" s="375" t="s">
        <v>65</v>
      </c>
      <c r="B17" s="380" t="s">
        <v>553</v>
      </c>
      <c r="C17" s="362" t="s">
        <v>2</v>
      </c>
      <c r="D17" s="732">
        <f>+'METRE ANTSIRABE'!F10</f>
        <v>528</v>
      </c>
      <c r="E17" s="281">
        <v>230500</v>
      </c>
      <c r="F17" s="281">
        <f t="shared" si="0"/>
        <v>121704000</v>
      </c>
    </row>
    <row r="18" spans="1:8" ht="25.5">
      <c r="A18" s="360" t="s">
        <v>554</v>
      </c>
      <c r="B18" s="380" t="s">
        <v>222</v>
      </c>
      <c r="C18" s="362" t="s">
        <v>1</v>
      </c>
      <c r="D18" s="732">
        <f>+'METRE ANTSIRABE'!F13</f>
        <v>2200</v>
      </c>
      <c r="E18" s="281">
        <v>30400</v>
      </c>
      <c r="F18" s="281">
        <f t="shared" si="0"/>
        <v>66880000</v>
      </c>
    </row>
    <row r="19" spans="1:8" ht="24" customHeight="1">
      <c r="A19" s="807" t="s">
        <v>555</v>
      </c>
      <c r="B19" s="808"/>
      <c r="C19" s="808"/>
      <c r="D19" s="808"/>
      <c r="E19" s="809"/>
      <c r="F19" s="365">
        <f>SUM(F13:F18)</f>
        <v>380952604.80000001</v>
      </c>
      <c r="G19" s="690"/>
    </row>
    <row r="20" spans="1:8" ht="15" customHeight="1">
      <c r="A20" s="368"/>
      <c r="B20" s="369"/>
      <c r="C20" s="370"/>
      <c r="D20" s="747"/>
      <c r="E20" s="396"/>
      <c r="F20" s="394"/>
    </row>
    <row r="21" spans="1:8" ht="15" customHeight="1">
      <c r="A21" s="368"/>
      <c r="B21" s="369"/>
      <c r="C21" s="370"/>
      <c r="D21" s="747"/>
      <c r="E21" s="396"/>
      <c r="F21" s="396"/>
    </row>
    <row r="22" spans="1:8" ht="15" customHeight="1">
      <c r="A22" s="804" t="s">
        <v>564</v>
      </c>
      <c r="B22" s="804"/>
      <c r="C22" s="355"/>
    </row>
    <row r="23" spans="1:8" ht="15" customHeight="1"/>
    <row r="24" spans="1:8" s="356" customFormat="1" ht="18" customHeight="1">
      <c r="A24" s="358" t="s">
        <v>30</v>
      </c>
      <c r="B24" s="358" t="s">
        <v>31</v>
      </c>
      <c r="C24" s="358" t="s">
        <v>12</v>
      </c>
      <c r="D24" s="744" t="s">
        <v>32</v>
      </c>
      <c r="E24" s="359" t="s">
        <v>40</v>
      </c>
      <c r="F24" s="359" t="s">
        <v>33</v>
      </c>
      <c r="G24" s="690"/>
      <c r="H24" s="690"/>
    </row>
    <row r="25" spans="1:8" s="356" customFormat="1" ht="38.25" customHeight="1">
      <c r="A25" s="375" t="s">
        <v>9</v>
      </c>
      <c r="B25" s="383" t="s">
        <v>556</v>
      </c>
      <c r="C25" s="362" t="s">
        <v>1</v>
      </c>
      <c r="D25" s="732">
        <f>+'METRE ANTSIRABE'!H33</f>
        <v>4972</v>
      </c>
      <c r="E25" s="306">
        <v>8600</v>
      </c>
      <c r="F25" s="306">
        <f>+D25*E25</f>
        <v>42759200</v>
      </c>
      <c r="G25" s="690"/>
      <c r="H25" s="690"/>
    </row>
    <row r="26" spans="1:8" s="356" customFormat="1" ht="27" customHeight="1">
      <c r="A26" s="375" t="s">
        <v>66</v>
      </c>
      <c r="B26" s="383" t="s">
        <v>642</v>
      </c>
      <c r="C26" s="362" t="s">
        <v>1</v>
      </c>
      <c r="D26" s="732">
        <f>+'METRE ANTSIRABE'!F29</f>
        <v>440</v>
      </c>
      <c r="E26" s="306">
        <v>9250</v>
      </c>
      <c r="F26" s="306">
        <f>+D26*E26</f>
        <v>4070000</v>
      </c>
      <c r="G26" s="690"/>
      <c r="H26" s="690"/>
    </row>
    <row r="27" spans="1:8" ht="24" customHeight="1">
      <c r="A27" s="807" t="s">
        <v>565</v>
      </c>
      <c r="B27" s="808"/>
      <c r="C27" s="808"/>
      <c r="D27" s="808"/>
      <c r="E27" s="809"/>
      <c r="F27" s="365">
        <f>SUM(F25:F26)</f>
        <v>46829200</v>
      </c>
      <c r="G27" s="690"/>
    </row>
    <row r="28" spans="1:8" ht="15" customHeight="1">
      <c r="A28" s="368"/>
      <c r="B28" s="369"/>
      <c r="C28" s="370"/>
      <c r="D28" s="747"/>
      <c r="E28" s="396"/>
      <c r="F28" s="396"/>
    </row>
    <row r="29" spans="1:8" ht="16.5">
      <c r="G29" s="411"/>
      <c r="H29" s="410"/>
    </row>
    <row r="30" spans="1:8" ht="15.75">
      <c r="A30" s="812" t="s">
        <v>181</v>
      </c>
      <c r="B30" s="812"/>
    </row>
    <row r="31" spans="1:8" ht="18" customHeight="1">
      <c r="A31" s="811" t="str">
        <f>+A4</f>
        <v>SERIE N° 2 : TERRASSEMENT</v>
      </c>
      <c r="B31" s="811"/>
      <c r="F31" s="357">
        <f>F8</f>
        <v>4312000</v>
      </c>
    </row>
    <row r="32" spans="1:8" ht="18" customHeight="1">
      <c r="A32" s="384" t="s">
        <v>551</v>
      </c>
      <c r="B32" s="384"/>
      <c r="F32" s="357">
        <f>F19</f>
        <v>380952604.80000001</v>
      </c>
    </row>
    <row r="33" spans="1:6" ht="18" customHeight="1">
      <c r="A33" s="811" t="str">
        <f>+A22</f>
        <v>SERIE N° 5: ENDUIT ET CHAPE</v>
      </c>
      <c r="B33" s="811"/>
      <c r="F33" s="357">
        <f>F27</f>
        <v>46829200</v>
      </c>
    </row>
    <row r="34" spans="1:6" s="357" customFormat="1" ht="26.25" customHeight="1">
      <c r="A34" s="356"/>
      <c r="B34" s="353"/>
      <c r="C34" s="356"/>
      <c r="D34" s="743"/>
    </row>
    <row r="35" spans="1:6" s="357" customFormat="1" ht="20.25" customHeight="1">
      <c r="A35" s="836" t="s">
        <v>64</v>
      </c>
      <c r="B35" s="837"/>
      <c r="C35" s="837"/>
      <c r="D35" s="837"/>
      <c r="E35" s="838"/>
      <c r="F35" s="726">
        <f>SUM(F31:F34)</f>
        <v>432093804.80000001</v>
      </c>
    </row>
    <row r="37" spans="1:6" s="357" customFormat="1" ht="27.75" customHeight="1">
      <c r="A37" s="839" t="s">
        <v>643</v>
      </c>
      <c r="B37" s="840"/>
      <c r="C37" s="840"/>
      <c r="D37" s="840"/>
      <c r="E37" s="840"/>
      <c r="F37" s="840"/>
    </row>
    <row r="38" spans="1:6" s="357" customFormat="1" ht="18" customHeight="1">
      <c r="A38" s="356"/>
      <c r="B38" s="353"/>
      <c r="C38" s="356"/>
      <c r="D38" s="743"/>
      <c r="F38" s="410"/>
    </row>
    <row r="39" spans="1:6" s="357" customFormat="1" ht="57.75" customHeight="1">
      <c r="A39" s="356"/>
      <c r="B39" s="353"/>
      <c r="C39" s="356"/>
      <c r="D39" s="743"/>
    </row>
    <row r="40" spans="1:6" s="357" customFormat="1">
      <c r="A40" s="356"/>
      <c r="B40" s="353"/>
      <c r="C40" s="356"/>
      <c r="D40" s="743"/>
      <c r="E40" s="354"/>
      <c r="F40" s="411"/>
    </row>
    <row r="41" spans="1:6" s="357" customFormat="1">
      <c r="A41" s="356"/>
      <c r="B41" s="353"/>
      <c r="C41" s="356"/>
      <c r="D41" s="743"/>
      <c r="E41" s="354"/>
    </row>
  </sheetData>
  <mergeCells count="13">
    <mergeCell ref="A35:E35"/>
    <mergeCell ref="A37:F37"/>
    <mergeCell ref="A22:B22"/>
    <mergeCell ref="A27:E27"/>
    <mergeCell ref="A30:B30"/>
    <mergeCell ref="A31:B31"/>
    <mergeCell ref="A33:B33"/>
    <mergeCell ref="A19:E19"/>
    <mergeCell ref="A1:F1"/>
    <mergeCell ref="A2:F2"/>
    <mergeCell ref="A4:B4"/>
    <mergeCell ref="A8:E8"/>
    <mergeCell ref="A10:D1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0"/>
  <sheetViews>
    <sheetView topLeftCell="A7" workbookViewId="0">
      <selection activeCell="I9" sqref="I9"/>
    </sheetView>
  </sheetViews>
  <sheetFormatPr baseColWidth="10" defaultRowHeight="12.75"/>
  <cols>
    <col min="1" max="1" width="8.7109375" style="752" customWidth="1"/>
    <col min="2" max="2" width="35" style="753" customWidth="1"/>
    <col min="3" max="3" width="10" style="743" customWidth="1"/>
    <col min="4" max="4" width="12" style="754" customWidth="1"/>
    <col min="5" max="6" width="14.5703125" style="754" customWidth="1"/>
    <col min="7" max="7" width="11.42578125" style="750"/>
    <col min="8" max="8" width="11.42578125" style="751"/>
    <col min="9" max="13" width="11.42578125" style="743"/>
    <col min="14" max="16384" width="11.42578125" style="750"/>
  </cols>
  <sheetData>
    <row r="1" spans="1:13" ht="23.25" customHeight="1"/>
    <row r="2" spans="1:13" ht="16.5" customHeight="1">
      <c r="A2" s="854" t="s">
        <v>593</v>
      </c>
      <c r="B2" s="855"/>
      <c r="C2" s="855"/>
      <c r="D2" s="855"/>
      <c r="E2" s="855"/>
      <c r="F2" s="856"/>
    </row>
    <row r="3" spans="1:13" ht="15" customHeight="1"/>
    <row r="4" spans="1:13" ht="15.75" customHeight="1">
      <c r="A4" s="755" t="s">
        <v>385</v>
      </c>
      <c r="B4" s="755" t="s">
        <v>34</v>
      </c>
      <c r="C4" s="744" t="s">
        <v>114</v>
      </c>
      <c r="D4" s="755" t="s">
        <v>32</v>
      </c>
      <c r="E4" s="755" t="s">
        <v>512</v>
      </c>
      <c r="F4" s="755" t="s">
        <v>33</v>
      </c>
    </row>
    <row r="5" spans="1:13" ht="15.75" customHeight="1">
      <c r="A5" s="756">
        <v>1</v>
      </c>
      <c r="B5" s="757" t="s">
        <v>566</v>
      </c>
      <c r="C5" s="758" t="s">
        <v>23</v>
      </c>
      <c r="D5" s="759">
        <v>3282</v>
      </c>
      <c r="E5" s="759">
        <v>28000</v>
      </c>
      <c r="F5" s="759">
        <f t="shared" ref="F5:F18" si="0">D5*E5</f>
        <v>91896000</v>
      </c>
    </row>
    <row r="6" spans="1:13" s="743" customFormat="1" ht="15.75" customHeight="1">
      <c r="A6" s="756">
        <v>2</v>
      </c>
      <c r="B6" s="757" t="s">
        <v>42</v>
      </c>
      <c r="C6" s="758" t="s">
        <v>2</v>
      </c>
      <c r="D6" s="756">
        <v>415</v>
      </c>
      <c r="E6" s="756">
        <v>40000</v>
      </c>
      <c r="F6" s="759">
        <f t="shared" si="0"/>
        <v>16600000</v>
      </c>
      <c r="H6" s="760"/>
    </row>
    <row r="7" spans="1:13" s="743" customFormat="1" ht="15.75" customHeight="1">
      <c r="A7" s="756">
        <v>3</v>
      </c>
      <c r="B7" s="757" t="s">
        <v>43</v>
      </c>
      <c r="C7" s="758" t="s">
        <v>2</v>
      </c>
      <c r="D7" s="756">
        <v>206</v>
      </c>
      <c r="E7" s="756">
        <v>80000</v>
      </c>
      <c r="F7" s="759">
        <f t="shared" si="0"/>
        <v>16480000</v>
      </c>
      <c r="H7" s="760"/>
    </row>
    <row r="8" spans="1:13" ht="15.75" customHeight="1">
      <c r="A8" s="756">
        <v>4</v>
      </c>
      <c r="B8" s="757" t="s">
        <v>44</v>
      </c>
      <c r="C8" s="758" t="s">
        <v>12</v>
      </c>
      <c r="D8" s="759">
        <v>67650</v>
      </c>
      <c r="E8" s="759">
        <v>550</v>
      </c>
      <c r="F8" s="759">
        <f t="shared" si="0"/>
        <v>37207500</v>
      </c>
    </row>
    <row r="9" spans="1:13" ht="15.75" customHeight="1">
      <c r="A9" s="756">
        <v>5</v>
      </c>
      <c r="B9" s="757" t="s">
        <v>313</v>
      </c>
      <c r="C9" s="758" t="s">
        <v>2</v>
      </c>
      <c r="D9" s="759">
        <v>75</v>
      </c>
      <c r="E9" s="759">
        <v>60000</v>
      </c>
      <c r="F9" s="759">
        <f t="shared" si="0"/>
        <v>4500000</v>
      </c>
    </row>
    <row r="10" spans="1:13" ht="15.75" customHeight="1">
      <c r="A10" s="756">
        <v>6</v>
      </c>
      <c r="B10" s="757" t="s">
        <v>35</v>
      </c>
      <c r="C10" s="758" t="s">
        <v>37</v>
      </c>
      <c r="D10" s="759">
        <v>1205</v>
      </c>
      <c r="E10" s="759">
        <v>7200</v>
      </c>
      <c r="F10" s="759">
        <f t="shared" si="0"/>
        <v>8676000</v>
      </c>
      <c r="J10" s="761"/>
    </row>
    <row r="11" spans="1:13" s="743" customFormat="1" ht="15.75" customHeight="1">
      <c r="A11" s="756">
        <v>7</v>
      </c>
      <c r="B11" s="757" t="s">
        <v>36</v>
      </c>
      <c r="C11" s="758" t="s">
        <v>37</v>
      </c>
      <c r="D11" s="756">
        <v>894</v>
      </c>
      <c r="E11" s="756">
        <v>11500</v>
      </c>
      <c r="F11" s="759">
        <f t="shared" si="0"/>
        <v>10281000</v>
      </c>
      <c r="G11" s="750"/>
      <c r="H11" s="751"/>
      <c r="J11" s="761"/>
    </row>
    <row r="12" spans="1:13" ht="15.75" customHeight="1">
      <c r="A12" s="756">
        <v>8</v>
      </c>
      <c r="B12" s="757" t="s">
        <v>46</v>
      </c>
      <c r="C12" s="758" t="s">
        <v>37</v>
      </c>
      <c r="D12" s="759">
        <v>554</v>
      </c>
      <c r="E12" s="759">
        <v>17500</v>
      </c>
      <c r="F12" s="759">
        <f t="shared" si="0"/>
        <v>9695000</v>
      </c>
      <c r="J12" s="761"/>
    </row>
    <row r="13" spans="1:13" s="763" customFormat="1" ht="15.75" customHeight="1">
      <c r="A13" s="756">
        <v>9</v>
      </c>
      <c r="B13" s="757" t="s">
        <v>45</v>
      </c>
      <c r="C13" s="758" t="s">
        <v>8</v>
      </c>
      <c r="D13" s="762">
        <v>230</v>
      </c>
      <c r="E13" s="762">
        <v>4000</v>
      </c>
      <c r="F13" s="759">
        <f t="shared" si="0"/>
        <v>920000</v>
      </c>
      <c r="H13" s="764"/>
      <c r="I13" s="743"/>
      <c r="J13" s="743"/>
      <c r="K13" s="743"/>
      <c r="L13" s="743"/>
      <c r="M13" s="743"/>
    </row>
    <row r="14" spans="1:13" s="763" customFormat="1" ht="15.75" customHeight="1">
      <c r="A14" s="756">
        <v>10</v>
      </c>
      <c r="B14" s="757" t="s">
        <v>567</v>
      </c>
      <c r="C14" s="758" t="s">
        <v>12</v>
      </c>
      <c r="D14" s="762">
        <v>500</v>
      </c>
      <c r="E14" s="762">
        <v>2000</v>
      </c>
      <c r="F14" s="759">
        <f t="shared" si="0"/>
        <v>1000000</v>
      </c>
      <c r="H14" s="764"/>
      <c r="I14" s="743"/>
      <c r="J14" s="743"/>
      <c r="K14" s="743"/>
      <c r="L14" s="743"/>
      <c r="M14" s="743"/>
    </row>
    <row r="15" spans="1:13" s="763" customFormat="1" ht="15.75" customHeight="1">
      <c r="A15" s="756">
        <v>11</v>
      </c>
      <c r="B15" s="757" t="s">
        <v>594</v>
      </c>
      <c r="C15" s="758" t="s">
        <v>12</v>
      </c>
      <c r="D15" s="762">
        <v>500</v>
      </c>
      <c r="E15" s="762">
        <v>3500</v>
      </c>
      <c r="F15" s="759">
        <f t="shared" si="0"/>
        <v>1750000</v>
      </c>
      <c r="H15" s="764"/>
      <c r="I15" s="743"/>
      <c r="J15" s="761"/>
      <c r="K15" s="743"/>
      <c r="L15" s="743"/>
      <c r="M15" s="743"/>
    </row>
    <row r="16" spans="1:13" s="763" customFormat="1" ht="15.75" customHeight="1">
      <c r="A16" s="756">
        <v>12</v>
      </c>
      <c r="B16" s="757" t="s">
        <v>186</v>
      </c>
      <c r="C16" s="758" t="s">
        <v>8</v>
      </c>
      <c r="D16" s="762">
        <v>250</v>
      </c>
      <c r="E16" s="762">
        <v>5000</v>
      </c>
      <c r="F16" s="759">
        <f t="shared" si="0"/>
        <v>1250000</v>
      </c>
      <c r="H16" s="764"/>
      <c r="I16" s="743"/>
      <c r="J16" s="743"/>
      <c r="K16" s="743"/>
      <c r="L16" s="743"/>
      <c r="M16" s="743"/>
    </row>
    <row r="17" spans="1:13" s="763" customFormat="1" ht="15.75" customHeight="1">
      <c r="A17" s="756">
        <v>13</v>
      </c>
      <c r="B17" s="757" t="s">
        <v>188</v>
      </c>
      <c r="C17" s="758" t="s">
        <v>8</v>
      </c>
      <c r="D17" s="762">
        <v>250</v>
      </c>
      <c r="E17" s="762">
        <v>5000</v>
      </c>
      <c r="F17" s="759">
        <f t="shared" si="0"/>
        <v>1250000</v>
      </c>
      <c r="H17" s="764"/>
      <c r="I17" s="764"/>
      <c r="J17" s="764"/>
      <c r="K17" s="743"/>
      <c r="L17" s="743"/>
      <c r="M17" s="743"/>
    </row>
    <row r="18" spans="1:13" s="763" customFormat="1" ht="15.75" customHeight="1">
      <c r="A18" s="756">
        <v>14</v>
      </c>
      <c r="B18" s="757" t="s">
        <v>623</v>
      </c>
      <c r="C18" s="758" t="s">
        <v>12</v>
      </c>
      <c r="D18" s="762">
        <v>335000</v>
      </c>
      <c r="E18" s="762">
        <v>120</v>
      </c>
      <c r="F18" s="759">
        <f t="shared" si="0"/>
        <v>40200000</v>
      </c>
      <c r="H18" s="764"/>
      <c r="I18" s="743"/>
      <c r="J18" s="743"/>
      <c r="K18" s="743"/>
      <c r="L18" s="743"/>
      <c r="M18" s="743"/>
    </row>
    <row r="19" spans="1:13" ht="15.75" customHeight="1">
      <c r="D19" s="850" t="s">
        <v>586</v>
      </c>
      <c r="E19" s="851"/>
      <c r="F19" s="759">
        <f>SUM(F5:F18)</f>
        <v>241705500</v>
      </c>
    </row>
    <row r="20" spans="1:13" s="743" customFormat="1" ht="15.75" customHeight="1">
      <c r="A20" s="752"/>
      <c r="B20" s="753"/>
      <c r="D20" s="850" t="s">
        <v>587</v>
      </c>
      <c r="E20" s="851"/>
      <c r="F20" s="759">
        <f>+F19/5</f>
        <v>48341100</v>
      </c>
      <c r="H20" s="760"/>
    </row>
    <row r="21" spans="1:13" s="743" customFormat="1" ht="15.75" customHeight="1">
      <c r="A21" s="752"/>
      <c r="B21" s="753"/>
      <c r="D21" s="850" t="s">
        <v>588</v>
      </c>
      <c r="E21" s="851"/>
      <c r="F21" s="759">
        <f>+F19/4</f>
        <v>60426375</v>
      </c>
      <c r="H21" s="760"/>
    </row>
    <row r="22" spans="1:13" s="743" customFormat="1" ht="15.75" customHeight="1">
      <c r="A22" s="752"/>
      <c r="B22" s="753"/>
      <c r="D22" s="850" t="s">
        <v>589</v>
      </c>
      <c r="E22" s="851"/>
      <c r="F22" s="756">
        <v>15000000</v>
      </c>
      <c r="H22" s="760"/>
    </row>
    <row r="23" spans="1:13" ht="15.75" customHeight="1">
      <c r="D23" s="852" t="s">
        <v>64</v>
      </c>
      <c r="E23" s="853"/>
      <c r="F23" s="765">
        <f>SUM(F19:F22)</f>
        <v>365472975</v>
      </c>
    </row>
    <row r="24" spans="1:13" ht="15.75" customHeight="1">
      <c r="D24" s="850" t="s">
        <v>590</v>
      </c>
      <c r="E24" s="851"/>
      <c r="F24" s="756">
        <f>+'Tamboho ANTSIRABE'!F35</f>
        <v>432093804.80000001</v>
      </c>
    </row>
    <row r="25" spans="1:13" ht="15.75" customHeight="1">
      <c r="D25" s="852" t="s">
        <v>591</v>
      </c>
      <c r="E25" s="853"/>
      <c r="F25" s="765">
        <f>+F24-F23</f>
        <v>66620829.800000012</v>
      </c>
    </row>
    <row r="26" spans="1:13" s="743" customFormat="1" ht="15.75" customHeight="1">
      <c r="A26" s="752"/>
      <c r="B26" s="753"/>
      <c r="D26" s="752"/>
      <c r="E26" s="752"/>
      <c r="F26" s="752"/>
      <c r="H26" s="760"/>
    </row>
    <row r="27" spans="1:13" s="743" customFormat="1" ht="18" customHeight="1">
      <c r="A27" s="752"/>
      <c r="B27" s="753"/>
      <c r="D27" s="752"/>
      <c r="E27" s="752"/>
      <c r="F27" s="752"/>
      <c r="H27" s="760"/>
    </row>
    <row r="28" spans="1:13" s="743" customFormat="1" ht="18" customHeight="1">
      <c r="A28" s="752"/>
      <c r="B28" s="753"/>
      <c r="D28" s="752"/>
      <c r="E28" s="752"/>
      <c r="F28" s="752"/>
      <c r="H28" s="760"/>
    </row>
    <row r="29" spans="1:13" ht="18" customHeight="1"/>
    <row r="30" spans="1:13" ht="18" customHeight="1"/>
    <row r="31" spans="1:13" ht="18" customHeight="1"/>
    <row r="32" spans="1:13" ht="18" customHeight="1"/>
    <row r="33" spans="1:13" ht="18" customHeight="1"/>
    <row r="34" spans="1:13" ht="18" customHeight="1"/>
    <row r="35" spans="1:13" ht="18" customHeight="1"/>
    <row r="36" spans="1:13" s="743" customFormat="1" ht="18" customHeight="1">
      <c r="A36" s="752"/>
      <c r="B36" s="753"/>
      <c r="D36" s="752"/>
      <c r="E36" s="752"/>
      <c r="F36" s="752"/>
      <c r="H36" s="760"/>
    </row>
    <row r="40" spans="1:13" ht="25.5" customHeight="1"/>
    <row r="41" spans="1:13" s="763" customFormat="1" ht="18" customHeight="1">
      <c r="A41" s="752"/>
      <c r="B41" s="753"/>
      <c r="C41" s="743"/>
      <c r="D41" s="766"/>
      <c r="E41" s="766"/>
      <c r="F41" s="766"/>
      <c r="H41" s="764"/>
      <c r="I41" s="743"/>
      <c r="J41" s="743"/>
      <c r="K41" s="743"/>
      <c r="L41" s="743"/>
      <c r="M41" s="743"/>
    </row>
    <row r="42" spans="1:13" s="763" customFormat="1" ht="18" customHeight="1">
      <c r="A42" s="752"/>
      <c r="B42" s="753"/>
      <c r="C42" s="743"/>
      <c r="D42" s="766"/>
      <c r="E42" s="766"/>
      <c r="F42" s="766"/>
      <c r="H42" s="764"/>
      <c r="I42" s="743"/>
      <c r="J42" s="743"/>
      <c r="K42" s="743"/>
      <c r="L42" s="743"/>
      <c r="M42" s="743"/>
    </row>
    <row r="43" spans="1:13" ht="24" customHeight="1"/>
    <row r="44" spans="1:13" ht="15" customHeight="1"/>
    <row r="45" spans="1:13" ht="15" customHeight="1"/>
    <row r="46" spans="1:13" ht="15" customHeight="1"/>
    <row r="47" spans="1:13" s="743" customFormat="1" ht="18" customHeight="1">
      <c r="A47" s="752"/>
      <c r="B47" s="753"/>
      <c r="D47" s="752"/>
      <c r="E47" s="752"/>
      <c r="F47" s="752"/>
      <c r="H47" s="760"/>
    </row>
    <row r="48" spans="1:13" ht="27" customHeight="1"/>
    <row r="49" spans="1:8" ht="27" customHeight="1"/>
    <row r="50" spans="1:8" ht="27" customHeight="1"/>
    <row r="51" spans="1:8" ht="24" customHeight="1"/>
    <row r="52" spans="1:8" ht="15" customHeight="1"/>
    <row r="53" spans="1:8" ht="15" customHeight="1"/>
    <row r="54" spans="1:8" ht="15" customHeight="1"/>
    <row r="55" spans="1:8" s="743" customFormat="1" ht="18" customHeight="1">
      <c r="A55" s="752"/>
      <c r="B55" s="753"/>
      <c r="D55" s="752"/>
      <c r="E55" s="752"/>
      <c r="F55" s="752"/>
      <c r="H55" s="760"/>
    </row>
    <row r="56" spans="1:8" ht="27" customHeight="1"/>
    <row r="57" spans="1:8" ht="24" customHeight="1"/>
    <row r="58" spans="1:8" ht="15" customHeight="1"/>
    <row r="59" spans="1:8" ht="15" customHeight="1"/>
    <row r="60" spans="1:8" ht="15" customHeight="1"/>
    <row r="61" spans="1:8" s="743" customFormat="1" ht="18" customHeight="1">
      <c r="A61" s="752"/>
      <c r="B61" s="753"/>
      <c r="D61" s="752"/>
      <c r="E61" s="752"/>
      <c r="F61" s="752"/>
      <c r="H61" s="760"/>
    </row>
    <row r="62" spans="1:8" s="743" customFormat="1" ht="18" customHeight="1">
      <c r="A62" s="752"/>
      <c r="B62" s="753"/>
      <c r="D62" s="752"/>
      <c r="E62" s="752"/>
      <c r="F62" s="752"/>
      <c r="H62" s="760"/>
    </row>
    <row r="63" spans="1:8" s="743" customFormat="1" ht="27" customHeight="1">
      <c r="A63" s="752"/>
      <c r="B63" s="753"/>
      <c r="D63" s="752"/>
      <c r="E63" s="752"/>
      <c r="F63" s="752"/>
      <c r="H63" s="760"/>
    </row>
    <row r="64" spans="1:8" s="743" customFormat="1" ht="27" customHeight="1">
      <c r="A64" s="752"/>
      <c r="B64" s="753"/>
      <c r="D64" s="752"/>
      <c r="E64" s="752"/>
      <c r="F64" s="752"/>
      <c r="H64" s="760"/>
    </row>
    <row r="65" spans="1:13" ht="27" customHeight="1"/>
    <row r="66" spans="1:13" ht="27" customHeight="1"/>
    <row r="67" spans="1:13" ht="24" customHeight="1"/>
    <row r="68" spans="1:13" ht="15" customHeight="1"/>
    <row r="69" spans="1:13" ht="15" customHeight="1"/>
    <row r="70" spans="1:13" ht="15" customHeight="1"/>
    <row r="71" spans="1:13" s="743" customFormat="1" ht="18" customHeight="1">
      <c r="A71" s="752"/>
      <c r="B71" s="753"/>
      <c r="D71" s="752"/>
      <c r="E71" s="752"/>
      <c r="F71" s="752"/>
      <c r="H71" s="760"/>
    </row>
    <row r="72" spans="1:13" s="763" customFormat="1" ht="18.75" customHeight="1">
      <c r="A72" s="752"/>
      <c r="B72" s="753"/>
      <c r="C72" s="743"/>
      <c r="D72" s="766"/>
      <c r="E72" s="766"/>
      <c r="F72" s="766"/>
      <c r="H72" s="764"/>
      <c r="I72" s="743"/>
      <c r="J72" s="743"/>
      <c r="K72" s="743"/>
      <c r="L72" s="743"/>
      <c r="M72" s="743"/>
    </row>
    <row r="73" spans="1:13" ht="24" customHeight="1"/>
    <row r="74" spans="1:13" ht="15" customHeight="1"/>
    <row r="75" spans="1:13" ht="15" customHeight="1"/>
    <row r="76" spans="1:13" ht="15" customHeight="1"/>
    <row r="77" spans="1:13" s="743" customFormat="1" ht="18" customHeight="1">
      <c r="A77" s="752"/>
      <c r="B77" s="753"/>
      <c r="D77" s="752"/>
      <c r="E77" s="752"/>
      <c r="F77" s="752"/>
      <c r="H77" s="760"/>
    </row>
    <row r="78" spans="1:13" s="763" customFormat="1" ht="18" customHeight="1">
      <c r="A78" s="752"/>
      <c r="B78" s="753"/>
      <c r="C78" s="743"/>
      <c r="D78" s="766"/>
      <c r="E78" s="766"/>
      <c r="F78" s="766"/>
      <c r="H78" s="764"/>
      <c r="I78" s="743"/>
      <c r="J78" s="743"/>
      <c r="K78" s="743"/>
      <c r="L78" s="743"/>
      <c r="M78" s="743"/>
    </row>
    <row r="79" spans="1:13" ht="24" customHeight="1"/>
    <row r="81" spans="1:13">
      <c r="A81" s="767"/>
      <c r="B81" s="768"/>
    </row>
    <row r="83" spans="1:13" ht="18" customHeight="1"/>
    <row r="84" spans="1:13" ht="18" customHeight="1"/>
    <row r="85" spans="1:13" ht="18" customHeight="1"/>
    <row r="86" spans="1:13" ht="18" customHeight="1"/>
    <row r="87" spans="1:13" ht="18" customHeight="1"/>
    <row r="88" spans="1:13" ht="18" customHeight="1"/>
    <row r="89" spans="1:13" s="754" customFormat="1" ht="18" customHeight="1">
      <c r="A89" s="752"/>
      <c r="B89" s="753"/>
      <c r="C89" s="743"/>
      <c r="G89" s="750"/>
      <c r="H89" s="751"/>
      <c r="I89" s="743"/>
      <c r="J89" s="743"/>
      <c r="K89" s="743"/>
      <c r="L89" s="752"/>
      <c r="M89" s="752"/>
    </row>
    <row r="90" spans="1:13" s="754" customFormat="1" ht="18" customHeight="1">
      <c r="A90" s="752"/>
      <c r="B90" s="753"/>
      <c r="C90" s="743"/>
      <c r="G90" s="750"/>
      <c r="H90" s="751"/>
      <c r="I90" s="743"/>
      <c r="J90" s="743"/>
      <c r="K90" s="743"/>
      <c r="L90" s="752"/>
      <c r="M90" s="752"/>
    </row>
    <row r="91" spans="1:13" s="754" customFormat="1" ht="18" customHeight="1">
      <c r="A91" s="752"/>
      <c r="B91" s="753"/>
      <c r="C91" s="743"/>
      <c r="G91" s="750"/>
      <c r="H91" s="751"/>
      <c r="I91" s="743"/>
      <c r="J91" s="743"/>
      <c r="K91" s="743"/>
      <c r="L91" s="752"/>
      <c r="M91" s="752"/>
    </row>
    <row r="92" spans="1:13" s="754" customFormat="1" ht="18" customHeight="1">
      <c r="A92" s="752"/>
      <c r="B92" s="753"/>
      <c r="C92" s="743"/>
      <c r="G92" s="750"/>
      <c r="H92" s="751"/>
      <c r="I92" s="743"/>
      <c r="J92" s="743"/>
      <c r="K92" s="743"/>
      <c r="L92" s="752"/>
      <c r="M92" s="752"/>
    </row>
    <row r="93" spans="1:13" s="754" customFormat="1" ht="26.25" customHeight="1">
      <c r="A93" s="752"/>
      <c r="B93" s="753"/>
      <c r="C93" s="743"/>
      <c r="G93" s="750"/>
      <c r="H93" s="751"/>
      <c r="I93" s="743"/>
      <c r="J93" s="743"/>
      <c r="K93" s="743"/>
      <c r="L93" s="752"/>
      <c r="M93" s="752"/>
    </row>
    <row r="94" spans="1:13" s="754" customFormat="1" ht="20.25" customHeight="1">
      <c r="A94" s="752"/>
      <c r="B94" s="753"/>
      <c r="C94" s="743"/>
      <c r="G94" s="750"/>
      <c r="H94" s="751"/>
      <c r="I94" s="743"/>
      <c r="J94" s="743"/>
      <c r="K94" s="743"/>
      <c r="L94" s="752"/>
      <c r="M94" s="752"/>
    </row>
    <row r="96" spans="1:13" s="754" customFormat="1" ht="27.75" customHeight="1">
      <c r="A96" s="752"/>
      <c r="B96" s="753"/>
      <c r="C96" s="743"/>
      <c r="G96" s="750"/>
      <c r="H96" s="751"/>
      <c r="I96" s="743"/>
      <c r="J96" s="743"/>
      <c r="K96" s="743"/>
      <c r="L96" s="752"/>
      <c r="M96" s="752"/>
    </row>
    <row r="97" spans="1:13" s="754" customFormat="1" ht="18" customHeight="1">
      <c r="A97" s="752"/>
      <c r="B97" s="753"/>
      <c r="C97" s="743"/>
      <c r="G97" s="750"/>
      <c r="H97" s="751"/>
      <c r="I97" s="743"/>
      <c r="J97" s="743"/>
      <c r="K97" s="743"/>
      <c r="L97" s="752"/>
      <c r="M97" s="752"/>
    </row>
    <row r="98" spans="1:13" s="754" customFormat="1" ht="57.75" customHeight="1">
      <c r="A98" s="752"/>
      <c r="B98" s="753"/>
      <c r="C98" s="743"/>
      <c r="G98" s="750"/>
      <c r="H98" s="751"/>
      <c r="I98" s="743"/>
      <c r="J98" s="743"/>
      <c r="K98" s="743"/>
      <c r="L98" s="752"/>
      <c r="M98" s="752"/>
    </row>
    <row r="99" spans="1:13" s="754" customFormat="1">
      <c r="A99" s="752"/>
      <c r="B99" s="753"/>
      <c r="C99" s="752"/>
      <c r="H99" s="751"/>
      <c r="I99" s="752"/>
      <c r="J99" s="752"/>
      <c r="K99" s="752"/>
      <c r="L99" s="752"/>
      <c r="M99" s="752"/>
    </row>
    <row r="100" spans="1:13" s="754" customFormat="1">
      <c r="A100" s="752"/>
      <c r="B100" s="753"/>
      <c r="C100" s="752"/>
      <c r="H100" s="751"/>
      <c r="I100" s="752"/>
      <c r="J100" s="752"/>
      <c r="K100" s="752"/>
      <c r="L100" s="752"/>
      <c r="M100" s="752"/>
    </row>
  </sheetData>
  <mergeCells count="8">
    <mergeCell ref="D24:E24"/>
    <mergeCell ref="D25:E25"/>
    <mergeCell ref="A2:F2"/>
    <mergeCell ref="D19:E19"/>
    <mergeCell ref="D20:E20"/>
    <mergeCell ref="D21:E21"/>
    <mergeCell ref="D22:E22"/>
    <mergeCell ref="D23:E23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N11" sqref="N11"/>
    </sheetView>
  </sheetViews>
  <sheetFormatPr baseColWidth="10" defaultRowHeight="12.75"/>
  <cols>
    <col min="1" max="1" width="13.85546875" style="113" customWidth="1"/>
    <col min="2" max="2" width="11.42578125" style="114"/>
    <col min="3" max="4" width="11.42578125" style="611"/>
    <col min="5" max="5" width="11.42578125" style="477"/>
    <col min="6" max="6" width="11.42578125" style="611"/>
    <col min="7" max="7" width="5.42578125" style="113" customWidth="1"/>
    <col min="8" max="8" width="9.28515625" style="113" customWidth="1"/>
    <col min="9" max="9" width="4.28515625" style="113" customWidth="1"/>
    <col min="10" max="16384" width="11.42578125" style="113"/>
  </cols>
  <sheetData>
    <row r="1" spans="1:7">
      <c r="B1" s="735" t="s">
        <v>609</v>
      </c>
      <c r="C1" s="733" t="s">
        <v>610</v>
      </c>
      <c r="D1" s="733" t="s">
        <v>611</v>
      </c>
      <c r="E1" s="509" t="s">
        <v>435</v>
      </c>
      <c r="F1" s="733" t="s">
        <v>612</v>
      </c>
    </row>
    <row r="2" spans="1:7">
      <c r="B2" s="736"/>
      <c r="C2" s="734"/>
      <c r="D2" s="734"/>
      <c r="E2" s="737"/>
      <c r="F2" s="734"/>
    </row>
    <row r="3" spans="1:7">
      <c r="A3" s="113" t="s">
        <v>608</v>
      </c>
    </row>
    <row r="4" spans="1:7">
      <c r="B4" s="114">
        <v>1100</v>
      </c>
      <c r="C4" s="611">
        <v>0.7</v>
      </c>
      <c r="D4" s="611">
        <v>1.4</v>
      </c>
      <c r="F4" s="738">
        <f>B4*C4*D4</f>
        <v>1078</v>
      </c>
      <c r="G4" s="113" t="s">
        <v>2</v>
      </c>
    </row>
    <row r="6" spans="1:7">
      <c r="A6" s="113" t="s">
        <v>613</v>
      </c>
    </row>
    <row r="7" spans="1:7">
      <c r="B7" s="114">
        <v>1100</v>
      </c>
      <c r="C7" s="611">
        <v>0.7</v>
      </c>
      <c r="D7" s="611">
        <v>0.05</v>
      </c>
      <c r="F7" s="738">
        <f>B7*C7*D7</f>
        <v>38.5</v>
      </c>
      <c r="G7" s="113" t="s">
        <v>2</v>
      </c>
    </row>
    <row r="9" spans="1:7">
      <c r="A9" s="113" t="s">
        <v>615</v>
      </c>
    </row>
    <row r="10" spans="1:7">
      <c r="B10" s="114">
        <v>1100</v>
      </c>
      <c r="C10" s="611">
        <v>0.4</v>
      </c>
      <c r="D10" s="611">
        <v>1.2</v>
      </c>
      <c r="F10" s="738">
        <f>B10*C10*D10</f>
        <v>528</v>
      </c>
      <c r="G10" s="113" t="s">
        <v>2</v>
      </c>
    </row>
    <row r="12" spans="1:7">
      <c r="A12" s="113" t="s">
        <v>622</v>
      </c>
    </row>
    <row r="13" spans="1:7">
      <c r="B13" s="114">
        <v>1100</v>
      </c>
      <c r="C13" s="611">
        <v>2</v>
      </c>
      <c r="D13" s="611">
        <v>0</v>
      </c>
      <c r="F13" s="738">
        <f>+B13*C13</f>
        <v>2200</v>
      </c>
      <c r="G13" s="113" t="s">
        <v>1</v>
      </c>
    </row>
    <row r="14" spans="1:7">
      <c r="F14" s="738"/>
    </row>
    <row r="16" spans="1:7">
      <c r="A16" s="113" t="s">
        <v>614</v>
      </c>
    </row>
    <row r="17" spans="1:9">
      <c r="B17" s="114">
        <v>1100</v>
      </c>
      <c r="C17" s="611">
        <v>0.7</v>
      </c>
      <c r="D17" s="611">
        <v>0.15</v>
      </c>
      <c r="F17" s="611">
        <f>B17*C17*D17</f>
        <v>115.5</v>
      </c>
      <c r="G17" s="113" t="s">
        <v>2</v>
      </c>
    </row>
    <row r="19" spans="1:9">
      <c r="A19" s="113" t="s">
        <v>616</v>
      </c>
    </row>
    <row r="20" spans="1:9">
      <c r="B20" s="114">
        <v>1100</v>
      </c>
      <c r="C20" s="611">
        <v>0.1</v>
      </c>
      <c r="D20" s="611">
        <v>0.15</v>
      </c>
      <c r="F20" s="611">
        <f>B20*C20*D20</f>
        <v>16.5</v>
      </c>
      <c r="G20" s="113" t="s">
        <v>2</v>
      </c>
    </row>
    <row r="22" spans="1:9">
      <c r="A22" s="113" t="s">
        <v>617</v>
      </c>
    </row>
    <row r="23" spans="1:9">
      <c r="B23" s="114">
        <v>3.2</v>
      </c>
      <c r="C23" s="611">
        <v>0.2</v>
      </c>
      <c r="D23" s="611">
        <v>0.2</v>
      </c>
      <c r="E23" s="477">
        <v>368</v>
      </c>
      <c r="F23" s="611">
        <f>+B23*C23*D23*E23</f>
        <v>47.104000000000013</v>
      </c>
      <c r="G23" s="113" t="s">
        <v>2</v>
      </c>
    </row>
    <row r="25" spans="1:9">
      <c r="A25" s="113" t="s">
        <v>618</v>
      </c>
    </row>
    <row r="26" spans="1:9">
      <c r="B26" s="114">
        <v>1100</v>
      </c>
      <c r="C26" s="611">
        <v>0.4</v>
      </c>
      <c r="D26" s="611">
        <v>0.06</v>
      </c>
      <c r="E26" s="477">
        <v>1</v>
      </c>
      <c r="F26" s="611">
        <f>+B26*C26*D26*E26</f>
        <v>26.4</v>
      </c>
      <c r="H26" s="741">
        <f>SUM(F17:F26)</f>
        <v>205.50400000000002</v>
      </c>
      <c r="I26" s="113" t="s">
        <v>2</v>
      </c>
    </row>
    <row r="28" spans="1:9">
      <c r="A28" s="113" t="s">
        <v>620</v>
      </c>
    </row>
    <row r="29" spans="1:9">
      <c r="B29" s="114">
        <v>1100</v>
      </c>
      <c r="C29" s="611">
        <v>0.4</v>
      </c>
      <c r="E29" s="477">
        <v>1</v>
      </c>
      <c r="F29" s="738">
        <f>+B29*C29</f>
        <v>440</v>
      </c>
      <c r="G29" s="113" t="s">
        <v>1</v>
      </c>
    </row>
    <row r="31" spans="1:9">
      <c r="A31" s="113" t="s">
        <v>619</v>
      </c>
    </row>
    <row r="32" spans="1:9">
      <c r="B32" s="114">
        <v>1100</v>
      </c>
      <c r="C32" s="611">
        <v>2.16</v>
      </c>
      <c r="E32" s="477">
        <v>2</v>
      </c>
      <c r="F32" s="740">
        <f>+B32*C32*E32</f>
        <v>4752</v>
      </c>
    </row>
    <row r="33" spans="1:10">
      <c r="B33" s="114">
        <v>1100</v>
      </c>
      <c r="C33" s="611">
        <v>0.1</v>
      </c>
      <c r="E33" s="477">
        <v>2</v>
      </c>
      <c r="F33" s="740">
        <f>+B33*C33*E33</f>
        <v>220</v>
      </c>
      <c r="H33" s="739">
        <f>SUM(F32:F33)</f>
        <v>4972</v>
      </c>
      <c r="I33" s="113" t="s">
        <v>1</v>
      </c>
    </row>
    <row r="35" spans="1:10">
      <c r="A35" s="113" t="s">
        <v>621</v>
      </c>
    </row>
    <row r="36" spans="1:10">
      <c r="B36" s="114">
        <v>2</v>
      </c>
      <c r="C36" s="611">
        <v>0.4</v>
      </c>
      <c r="E36" s="477">
        <v>368</v>
      </c>
      <c r="F36" s="611">
        <f>+B36*C36*E36</f>
        <v>294.40000000000003</v>
      </c>
    </row>
    <row r="37" spans="1:10">
      <c r="B37" s="114">
        <v>1100</v>
      </c>
      <c r="C37" s="611">
        <v>0.32</v>
      </c>
      <c r="E37" s="477">
        <v>1</v>
      </c>
      <c r="F37" s="611">
        <f>+B37*C37*E37</f>
        <v>352</v>
      </c>
      <c r="H37" s="739">
        <f>SUM(F36:F37)</f>
        <v>646.40000000000009</v>
      </c>
      <c r="I37" s="113" t="s">
        <v>1</v>
      </c>
    </row>
    <row r="38" spans="1:10">
      <c r="H38" s="739"/>
    </row>
    <row r="39" spans="1:10">
      <c r="A39" s="113" t="s">
        <v>541</v>
      </c>
    </row>
    <row r="40" spans="1:10">
      <c r="F40" s="738">
        <f>+H26*80</f>
        <v>16440.32</v>
      </c>
      <c r="G40" s="113" t="s">
        <v>18</v>
      </c>
    </row>
    <row r="46" spans="1:10">
      <c r="J46" s="113" t="s">
        <v>41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96"/>
  <sheetViews>
    <sheetView topLeftCell="B148" zoomScale="98" zoomScaleNormal="98" workbookViewId="0">
      <selection activeCell="E199" sqref="E199:I201"/>
    </sheetView>
  </sheetViews>
  <sheetFormatPr baseColWidth="10" defaultRowHeight="12.75"/>
  <cols>
    <col min="1" max="1" width="10.7109375" style="3" customWidth="1"/>
    <col min="2" max="2" width="48" style="1" customWidth="1"/>
    <col min="3" max="3" width="9.7109375" style="3" customWidth="1"/>
    <col min="4" max="4" width="11.5703125" style="3" customWidth="1"/>
    <col min="5" max="5" width="22" style="3" customWidth="1"/>
    <col min="6" max="6" width="9.7109375" style="3" customWidth="1"/>
    <col min="7" max="7" width="12" style="6" customWidth="1"/>
    <col min="8" max="10" width="14.28515625" style="35" customWidth="1"/>
    <col min="11" max="11" width="12.85546875" style="6" bestFit="1" customWidth="1"/>
    <col min="12" max="12" width="7.85546875" style="606" customWidth="1"/>
    <col min="13" max="13" width="13.5703125" style="606" customWidth="1"/>
    <col min="14" max="14" width="7.85546875" style="132" customWidth="1"/>
    <col min="15" max="15" width="7.85546875" style="6" customWidth="1"/>
    <col min="16" max="16" width="11.42578125" style="123"/>
    <col min="17" max="16384" width="11.42578125" style="1"/>
  </cols>
  <sheetData>
    <row r="1" spans="1:16" ht="16.5" customHeight="1">
      <c r="A1" s="783" t="s">
        <v>510</v>
      </c>
      <c r="B1" s="783"/>
      <c r="C1" s="783"/>
      <c r="D1" s="783"/>
      <c r="E1" s="783"/>
      <c r="F1" s="783"/>
      <c r="G1" s="783"/>
      <c r="H1" s="783"/>
      <c r="I1" s="783"/>
      <c r="J1" s="596"/>
    </row>
    <row r="2" spans="1:16" ht="16.5" customHeight="1">
      <c r="A2" s="783" t="s">
        <v>208</v>
      </c>
      <c r="B2" s="783"/>
      <c r="C2" s="783"/>
      <c r="D2" s="783"/>
      <c r="E2" s="783"/>
      <c r="F2" s="783"/>
      <c r="G2" s="783"/>
      <c r="H2" s="783"/>
      <c r="I2" s="783"/>
      <c r="J2" s="596"/>
    </row>
    <row r="3" spans="1:16" ht="16.5" customHeight="1">
      <c r="A3" s="784" t="s">
        <v>209</v>
      </c>
      <c r="B3" s="784"/>
      <c r="C3" s="784"/>
      <c r="D3" s="784"/>
      <c r="E3" s="784"/>
      <c r="F3" s="784"/>
      <c r="G3" s="784"/>
      <c r="H3" s="784"/>
      <c r="I3" s="784"/>
      <c r="J3" s="597"/>
    </row>
    <row r="4" spans="1:16" ht="15" customHeight="1">
      <c r="A4" s="340" t="s">
        <v>128</v>
      </c>
      <c r="B4" s="340"/>
      <c r="C4" s="2"/>
    </row>
    <row r="5" spans="1:16" ht="15" customHeight="1"/>
    <row r="6" spans="1:16" s="3" customFormat="1" ht="17.25" customHeight="1">
      <c r="A6" s="20" t="s">
        <v>30</v>
      </c>
      <c r="B6" s="20" t="s">
        <v>31</v>
      </c>
      <c r="C6" s="20" t="s">
        <v>12</v>
      </c>
      <c r="D6" s="20" t="s">
        <v>32</v>
      </c>
      <c r="E6" s="20" t="s">
        <v>34</v>
      </c>
      <c r="F6" s="20" t="s">
        <v>12</v>
      </c>
      <c r="G6" s="36" t="s">
        <v>32</v>
      </c>
      <c r="H6" s="37" t="s">
        <v>40</v>
      </c>
      <c r="I6" s="37" t="s">
        <v>33</v>
      </c>
      <c r="J6" s="613"/>
      <c r="K6" s="187"/>
      <c r="L6" s="607"/>
      <c r="M6" s="607"/>
      <c r="N6" s="132"/>
      <c r="O6" s="187"/>
      <c r="P6" s="599"/>
    </row>
    <row r="7" spans="1:16" s="3" customFormat="1" ht="17.25" customHeight="1">
      <c r="A7" s="86" t="s">
        <v>119</v>
      </c>
      <c r="B7" s="136" t="s">
        <v>120</v>
      </c>
      <c r="C7" s="58" t="s">
        <v>129</v>
      </c>
      <c r="D7" s="119">
        <v>1</v>
      </c>
      <c r="E7" s="138"/>
      <c r="F7" s="138"/>
      <c r="G7" s="139"/>
      <c r="H7" s="135">
        <v>500000</v>
      </c>
      <c r="I7" s="135">
        <f>+D7*H7</f>
        <v>500000</v>
      </c>
      <c r="J7" s="614"/>
      <c r="K7" s="187"/>
      <c r="L7" s="607"/>
      <c r="M7" s="607"/>
      <c r="N7" s="132"/>
      <c r="O7" s="187"/>
      <c r="P7" s="599"/>
    </row>
    <row r="8" spans="1:16" s="3" customFormat="1" ht="17.25" customHeight="1">
      <c r="A8" s="34"/>
      <c r="B8" s="258"/>
      <c r="C8" s="4"/>
      <c r="D8" s="259"/>
      <c r="E8" s="260"/>
      <c r="F8" s="769" t="s">
        <v>130</v>
      </c>
      <c r="G8" s="770"/>
      <c r="H8" s="771"/>
      <c r="I8" s="261">
        <f>SUM(I7)</f>
        <v>500000</v>
      </c>
      <c r="J8" s="615"/>
      <c r="K8" s="187"/>
      <c r="L8" s="607"/>
      <c r="M8" s="607"/>
      <c r="N8" s="132"/>
      <c r="O8" s="187"/>
      <c r="P8" s="599"/>
    </row>
    <row r="9" spans="1:16" ht="15" customHeight="1">
      <c r="A9" s="340" t="s">
        <v>68</v>
      </c>
      <c r="B9" s="340"/>
      <c r="C9" s="2"/>
    </row>
    <row r="10" spans="1:16" ht="15" customHeight="1"/>
    <row r="11" spans="1:16" s="3" customFormat="1" ht="17.25" customHeight="1">
      <c r="A11" s="20" t="s">
        <v>30</v>
      </c>
      <c r="B11" s="20" t="s">
        <v>31</v>
      </c>
      <c r="C11" s="20" t="s">
        <v>12</v>
      </c>
      <c r="D11" s="20" t="s">
        <v>32</v>
      </c>
      <c r="E11" s="20" t="s">
        <v>34</v>
      </c>
      <c r="F11" s="20" t="s">
        <v>12</v>
      </c>
      <c r="G11" s="36" t="s">
        <v>32</v>
      </c>
      <c r="H11" s="37" t="s">
        <v>40</v>
      </c>
      <c r="I11" s="37" t="s">
        <v>33</v>
      </c>
      <c r="J11" s="613"/>
      <c r="K11" s="187"/>
      <c r="L11" s="607"/>
      <c r="M11" s="607"/>
      <c r="N11" s="132"/>
      <c r="O11" s="187"/>
      <c r="P11" s="599"/>
    </row>
    <row r="12" spans="1:16" s="3" customFormat="1" ht="17.25" customHeight="1">
      <c r="A12" s="86" t="s">
        <v>0</v>
      </c>
      <c r="B12" s="136" t="s">
        <v>210</v>
      </c>
      <c r="C12" s="58" t="s">
        <v>2</v>
      </c>
      <c r="D12" s="137">
        <v>60.48</v>
      </c>
      <c r="E12" s="138"/>
      <c r="F12" s="138"/>
      <c r="G12" s="139"/>
      <c r="H12" s="135">
        <v>2500</v>
      </c>
      <c r="I12" s="135">
        <f>D12*H12</f>
        <v>151200</v>
      </c>
      <c r="J12" s="614"/>
      <c r="K12" s="187"/>
      <c r="L12" s="607"/>
      <c r="M12" s="607"/>
      <c r="N12" s="132"/>
      <c r="O12" s="187"/>
      <c r="P12" s="599"/>
    </row>
    <row r="13" spans="1:16" s="3" customFormat="1" ht="17.25" customHeight="1">
      <c r="A13" s="86" t="s">
        <v>211</v>
      </c>
      <c r="B13" s="136" t="s">
        <v>213</v>
      </c>
      <c r="C13" s="58" t="s">
        <v>2</v>
      </c>
      <c r="D13" s="58">
        <v>15.593999999999999</v>
      </c>
      <c r="E13" s="135"/>
      <c r="F13" s="138"/>
      <c r="G13" s="139"/>
      <c r="H13" s="135">
        <v>3000</v>
      </c>
      <c r="I13" s="135">
        <f>D13*H13</f>
        <v>46782</v>
      </c>
      <c r="J13" s="614"/>
      <c r="K13" s="187"/>
      <c r="L13" s="607"/>
      <c r="M13" s="607"/>
      <c r="N13" s="132"/>
      <c r="O13" s="187"/>
      <c r="P13" s="599"/>
    </row>
    <row r="14" spans="1:16" s="3" customFormat="1" ht="17.25" customHeight="1">
      <c r="A14" s="34"/>
      <c r="B14" s="258"/>
      <c r="C14" s="4"/>
      <c r="D14" s="262"/>
      <c r="E14" s="260"/>
      <c r="F14" s="769" t="s">
        <v>67</v>
      </c>
      <c r="G14" s="770"/>
      <c r="H14" s="771"/>
      <c r="I14" s="261">
        <f>SUM(I12:I13)</f>
        <v>197982</v>
      </c>
      <c r="J14" s="615"/>
      <c r="K14" s="187"/>
      <c r="L14" s="607"/>
      <c r="M14" s="607"/>
      <c r="N14" s="132"/>
      <c r="O14" s="187"/>
      <c r="P14" s="599"/>
    </row>
    <row r="15" spans="1:16" ht="15" customHeight="1">
      <c r="A15" s="785" t="s">
        <v>127</v>
      </c>
      <c r="B15" s="785"/>
      <c r="C15" s="785"/>
      <c r="D15" s="785"/>
      <c r="E15" s="49"/>
      <c r="F15" s="54"/>
      <c r="G15" s="54"/>
      <c r="H15" s="54"/>
      <c r="I15" s="57"/>
      <c r="J15" s="57"/>
    </row>
    <row r="16" spans="1:16" ht="15" customHeight="1">
      <c r="A16" s="34"/>
      <c r="B16" s="5"/>
      <c r="C16" s="4"/>
      <c r="D16" s="48"/>
      <c r="E16" s="49"/>
      <c r="F16" s="54"/>
      <c r="G16" s="54"/>
      <c r="H16" s="54"/>
      <c r="I16" s="57"/>
      <c r="J16" s="57"/>
    </row>
    <row r="17" spans="1:16" s="3" customFormat="1" ht="17.25" customHeight="1">
      <c r="A17" s="20" t="s">
        <v>30</v>
      </c>
      <c r="B17" s="20" t="s">
        <v>31</v>
      </c>
      <c r="C17" s="20" t="s">
        <v>12</v>
      </c>
      <c r="D17" s="20" t="s">
        <v>32</v>
      </c>
      <c r="E17" s="20" t="s">
        <v>34</v>
      </c>
      <c r="F17" s="20" t="s">
        <v>12</v>
      </c>
      <c r="G17" s="36" t="s">
        <v>32</v>
      </c>
      <c r="H17" s="37" t="s">
        <v>40</v>
      </c>
      <c r="I17" s="37" t="s">
        <v>33</v>
      </c>
      <c r="J17" s="613"/>
      <c r="K17" s="187"/>
      <c r="L17" s="607"/>
      <c r="M17" s="607"/>
      <c r="N17" s="132"/>
      <c r="O17" s="187"/>
      <c r="P17" s="599"/>
    </row>
    <row r="18" spans="1:16" ht="27" customHeight="1">
      <c r="A18" s="33" t="s">
        <v>3</v>
      </c>
      <c r="B18" s="15" t="s">
        <v>361</v>
      </c>
      <c r="C18" s="17" t="s">
        <v>2</v>
      </c>
      <c r="D18" s="26">
        <v>4.0289999999999999</v>
      </c>
      <c r="E18" s="27" t="s">
        <v>41</v>
      </c>
      <c r="F18" s="27"/>
      <c r="H18" s="40"/>
      <c r="I18" s="40"/>
      <c r="J18" s="83"/>
    </row>
    <row r="19" spans="1:16" ht="18" customHeight="1">
      <c r="A19" s="25"/>
      <c r="B19" s="15"/>
      <c r="C19" s="17"/>
      <c r="D19" s="26"/>
      <c r="E19" s="39" t="s">
        <v>106</v>
      </c>
      <c r="F19" s="27" t="s">
        <v>23</v>
      </c>
      <c r="G19" s="6">
        <v>11</v>
      </c>
      <c r="H19" s="40">
        <v>23000</v>
      </c>
      <c r="I19" s="40">
        <f>G19*H19</f>
        <v>253000</v>
      </c>
      <c r="J19" s="83"/>
    </row>
    <row r="20" spans="1:16" ht="18" customHeight="1">
      <c r="A20" s="25"/>
      <c r="B20" s="15"/>
      <c r="C20" s="17"/>
      <c r="D20" s="26"/>
      <c r="E20" s="39" t="s">
        <v>42</v>
      </c>
      <c r="F20" s="27" t="s">
        <v>2</v>
      </c>
      <c r="G20" s="123">
        <v>2</v>
      </c>
      <c r="H20" s="40">
        <v>8000</v>
      </c>
      <c r="I20" s="40">
        <f t="shared" ref="I20:I21" si="0">G20*H20</f>
        <v>16000</v>
      </c>
      <c r="J20" s="83"/>
    </row>
    <row r="21" spans="1:16" ht="18" customHeight="1">
      <c r="A21" s="25"/>
      <c r="B21" s="15"/>
      <c r="C21" s="17"/>
      <c r="D21" s="26"/>
      <c r="E21" s="39" t="s">
        <v>348</v>
      </c>
      <c r="F21" s="27" t="s">
        <v>2</v>
      </c>
      <c r="G21" s="124">
        <v>3</v>
      </c>
      <c r="H21" s="40">
        <v>40000</v>
      </c>
      <c r="I21" s="40">
        <f t="shared" si="0"/>
        <v>120000</v>
      </c>
      <c r="J21" s="83"/>
    </row>
    <row r="22" spans="1:16" s="132" customFormat="1" ht="27" customHeight="1">
      <c r="A22" s="72" t="s">
        <v>4</v>
      </c>
      <c r="B22" s="289" t="s">
        <v>215</v>
      </c>
      <c r="C22" s="16" t="s">
        <v>2</v>
      </c>
      <c r="D22" s="24">
        <v>20.504000000000001</v>
      </c>
      <c r="E22" s="71"/>
      <c r="F22" s="21"/>
      <c r="G22" s="109"/>
      <c r="H22" s="118"/>
      <c r="I22" s="118"/>
      <c r="J22" s="209"/>
      <c r="K22" s="188"/>
      <c r="L22" s="608"/>
      <c r="M22" s="608"/>
      <c r="O22" s="188"/>
      <c r="P22" s="600"/>
    </row>
    <row r="23" spans="1:16" s="132" customFormat="1" ht="18.75" customHeight="1">
      <c r="A23" s="106"/>
      <c r="B23" s="90"/>
      <c r="C23" s="17"/>
      <c r="D23" s="26"/>
      <c r="E23" s="39" t="s">
        <v>38</v>
      </c>
      <c r="F23" s="27" t="s">
        <v>2</v>
      </c>
      <c r="G23" s="110">
        <v>20.504000000000001</v>
      </c>
      <c r="H23" s="79">
        <v>50000</v>
      </c>
      <c r="I23" s="79">
        <f>+G23*H23</f>
        <v>1025200.0000000001</v>
      </c>
      <c r="J23" s="209"/>
      <c r="K23" s="188"/>
      <c r="L23" s="608"/>
      <c r="M23" s="608"/>
      <c r="O23" s="188"/>
      <c r="P23" s="600"/>
    </row>
    <row r="24" spans="1:16" ht="18" customHeight="1">
      <c r="A24" s="74"/>
      <c r="B24" s="75"/>
      <c r="C24" s="19"/>
      <c r="D24" s="41"/>
      <c r="E24" s="42" t="s">
        <v>312</v>
      </c>
      <c r="F24" s="23" t="s">
        <v>2</v>
      </c>
      <c r="G24" s="125">
        <v>0</v>
      </c>
      <c r="H24" s="44">
        <v>40000</v>
      </c>
      <c r="I24" s="44">
        <f>+G24*H24</f>
        <v>0</v>
      </c>
      <c r="J24" s="83"/>
    </row>
    <row r="25" spans="1:16" ht="27" customHeight="1">
      <c r="A25" s="72" t="s">
        <v>5</v>
      </c>
      <c r="B25" s="285" t="s">
        <v>547</v>
      </c>
      <c r="C25" s="16" t="s">
        <v>2</v>
      </c>
      <c r="D25" s="24">
        <v>11.134</v>
      </c>
      <c r="E25" s="71"/>
      <c r="F25" s="21"/>
      <c r="G25" s="73"/>
      <c r="H25" s="38"/>
      <c r="I25" s="38"/>
      <c r="J25" s="83"/>
    </row>
    <row r="26" spans="1:16" ht="18" customHeight="1">
      <c r="A26" s="307"/>
      <c r="B26" s="308"/>
      <c r="C26" s="17"/>
      <c r="D26" s="26"/>
      <c r="E26" s="39" t="s">
        <v>106</v>
      </c>
      <c r="F26" s="27" t="s">
        <v>23</v>
      </c>
      <c r="G26" s="66">
        <v>67</v>
      </c>
      <c r="H26" s="40">
        <v>23000</v>
      </c>
      <c r="I26" s="40">
        <f>+G26*H26</f>
        <v>1541000</v>
      </c>
      <c r="J26" s="83"/>
    </row>
    <row r="27" spans="1:16" ht="18" customHeight="1">
      <c r="A27" s="25"/>
      <c r="B27" s="15"/>
      <c r="C27" s="17"/>
      <c r="D27" s="26"/>
      <c r="E27" s="39" t="s">
        <v>42</v>
      </c>
      <c r="F27" s="27" t="s">
        <v>2</v>
      </c>
      <c r="G27" s="124">
        <v>6</v>
      </c>
      <c r="H27" s="40">
        <f>H20</f>
        <v>8000</v>
      </c>
      <c r="I27" s="40">
        <f t="shared" ref="I27:I28" si="1">+G27*H27</f>
        <v>48000</v>
      </c>
      <c r="J27" s="83"/>
    </row>
    <row r="28" spans="1:16" ht="18" customHeight="1">
      <c r="A28" s="22"/>
      <c r="B28" s="18"/>
      <c r="C28" s="19"/>
      <c r="D28" s="41"/>
      <c r="E28" s="39" t="s">
        <v>348</v>
      </c>
      <c r="F28" s="23" t="s">
        <v>2</v>
      </c>
      <c r="G28" s="126">
        <v>9</v>
      </c>
      <c r="H28" s="44">
        <f>H21</f>
        <v>40000</v>
      </c>
      <c r="I28" s="40">
        <f t="shared" si="1"/>
        <v>360000</v>
      </c>
      <c r="J28" s="83"/>
    </row>
    <row r="29" spans="1:16" ht="27" customHeight="1">
      <c r="A29" s="32" t="s">
        <v>6</v>
      </c>
      <c r="B29" s="285" t="s">
        <v>476</v>
      </c>
      <c r="C29" s="16" t="s">
        <v>2</v>
      </c>
      <c r="D29" s="382">
        <v>25.823</v>
      </c>
      <c r="E29" s="21" t="s">
        <v>41</v>
      </c>
      <c r="F29" s="21"/>
      <c r="H29" s="38"/>
      <c r="I29" s="38"/>
      <c r="J29" s="83"/>
    </row>
    <row r="30" spans="1:16" ht="18" customHeight="1">
      <c r="A30" s="25"/>
      <c r="B30" s="15"/>
      <c r="C30" s="17"/>
      <c r="D30" s="378"/>
      <c r="E30" s="39" t="s">
        <v>106</v>
      </c>
      <c r="F30" s="27" t="s">
        <v>23</v>
      </c>
      <c r="G30" s="6">
        <v>183</v>
      </c>
      <c r="H30" s="40">
        <v>26600</v>
      </c>
      <c r="I30" s="40">
        <f>G30*H30</f>
        <v>4867800</v>
      </c>
      <c r="J30" s="83"/>
    </row>
    <row r="31" spans="1:16" ht="18" customHeight="1">
      <c r="A31" s="25"/>
      <c r="B31" s="15"/>
      <c r="C31" s="17"/>
      <c r="D31" s="378"/>
      <c r="E31" s="39" t="s">
        <v>42</v>
      </c>
      <c r="F31" s="27" t="s">
        <v>2</v>
      </c>
      <c r="G31" s="123">
        <v>15</v>
      </c>
      <c r="H31" s="40">
        <f>H20</f>
        <v>8000</v>
      </c>
      <c r="I31" s="40">
        <f t="shared" ref="I31:I32" si="2">G31*H31</f>
        <v>120000</v>
      </c>
      <c r="J31" s="83"/>
    </row>
    <row r="32" spans="1:16" ht="18" customHeight="1">
      <c r="A32" s="22"/>
      <c r="B32" s="18"/>
      <c r="C32" s="19"/>
      <c r="D32" s="564"/>
      <c r="E32" s="42" t="s">
        <v>348</v>
      </c>
      <c r="F32" s="23" t="s">
        <v>2</v>
      </c>
      <c r="G32" s="126">
        <v>22</v>
      </c>
      <c r="H32" s="44">
        <f>H21</f>
        <v>40000</v>
      </c>
      <c r="I32" s="44">
        <f t="shared" si="2"/>
        <v>880000</v>
      </c>
      <c r="J32" s="83"/>
    </row>
    <row r="33" spans="1:16" ht="26.25" customHeight="1">
      <c r="A33" s="33" t="s">
        <v>17</v>
      </c>
      <c r="B33" s="15" t="s">
        <v>218</v>
      </c>
      <c r="C33" s="17" t="s">
        <v>18</v>
      </c>
      <c r="D33" s="350">
        <v>1308.02</v>
      </c>
      <c r="E33" s="39"/>
      <c r="F33" s="27"/>
      <c r="H33" s="40"/>
      <c r="I33" s="40"/>
      <c r="J33" s="83"/>
      <c r="K33" s="604"/>
      <c r="L33" s="609"/>
    </row>
    <row r="34" spans="1:16" ht="18" customHeight="1">
      <c r="A34" s="22"/>
      <c r="B34" s="18"/>
      <c r="C34" s="19"/>
      <c r="D34" s="349"/>
      <c r="E34" s="42" t="s">
        <v>35</v>
      </c>
      <c r="F34" s="23" t="s">
        <v>37</v>
      </c>
      <c r="G34" s="43">
        <v>200</v>
      </c>
      <c r="H34" s="681">
        <v>7000</v>
      </c>
      <c r="I34" s="44">
        <f t="shared" ref="I34:I40" si="3">G34*H34</f>
        <v>1400000</v>
      </c>
      <c r="J34" s="83"/>
    </row>
    <row r="35" spans="1:16" ht="18" customHeight="1">
      <c r="A35" s="570"/>
      <c r="B35" s="92"/>
      <c r="C35" s="571"/>
      <c r="D35" s="572"/>
      <c r="E35" s="573"/>
      <c r="F35" s="574"/>
      <c r="G35" s="43"/>
      <c r="H35" s="682"/>
      <c r="I35" s="575"/>
      <c r="J35" s="83"/>
    </row>
    <row r="36" spans="1:16" s="6" customFormat="1" ht="18" customHeight="1">
      <c r="A36" s="25"/>
      <c r="B36" s="15"/>
      <c r="C36" s="17"/>
      <c r="D36" s="350"/>
      <c r="E36" s="39" t="s">
        <v>36</v>
      </c>
      <c r="F36" s="27" t="s">
        <v>37</v>
      </c>
      <c r="G36" s="6">
        <v>15</v>
      </c>
      <c r="H36" s="683">
        <v>11300</v>
      </c>
      <c r="I36" s="40">
        <f t="shared" si="3"/>
        <v>169500</v>
      </c>
      <c r="J36" s="83"/>
      <c r="L36" s="606"/>
      <c r="M36" s="606"/>
      <c r="N36" s="132"/>
      <c r="P36" s="123"/>
    </row>
    <row r="37" spans="1:16" s="6" customFormat="1" ht="18" customHeight="1">
      <c r="A37" s="25"/>
      <c r="B37" s="15"/>
      <c r="C37" s="17"/>
      <c r="D37" s="350"/>
      <c r="E37" s="39" t="s">
        <v>46</v>
      </c>
      <c r="F37" s="27" t="s">
        <v>37</v>
      </c>
      <c r="G37" s="6">
        <v>70</v>
      </c>
      <c r="H37" s="683">
        <v>17300</v>
      </c>
      <c r="I37" s="40">
        <f t="shared" ref="I37" si="4">G37*H37</f>
        <v>1211000</v>
      </c>
      <c r="J37" s="83"/>
      <c r="L37" s="606"/>
      <c r="M37" s="606"/>
      <c r="N37" s="132"/>
      <c r="P37" s="123"/>
    </row>
    <row r="38" spans="1:16" s="6" customFormat="1" ht="18" customHeight="1">
      <c r="A38" s="25"/>
      <c r="B38" s="15"/>
      <c r="C38" s="17"/>
      <c r="D38" s="350"/>
      <c r="E38" s="39" t="s">
        <v>47</v>
      </c>
      <c r="F38" s="27" t="s">
        <v>37</v>
      </c>
      <c r="G38" s="6">
        <v>39</v>
      </c>
      <c r="H38" s="683">
        <v>25200</v>
      </c>
      <c r="I38" s="40">
        <f t="shared" si="3"/>
        <v>982800</v>
      </c>
      <c r="J38" s="83"/>
      <c r="L38" s="606"/>
      <c r="M38" s="606"/>
      <c r="N38" s="132"/>
      <c r="P38" s="123"/>
    </row>
    <row r="39" spans="1:16" s="6" customFormat="1" ht="18" customHeight="1">
      <c r="A39" s="25"/>
      <c r="B39" s="15"/>
      <c r="C39" s="17"/>
      <c r="D39" s="350"/>
      <c r="E39" s="39" t="s">
        <v>509</v>
      </c>
      <c r="F39" s="27" t="s">
        <v>37</v>
      </c>
      <c r="G39" s="6">
        <v>13</v>
      </c>
      <c r="H39" s="683">
        <v>58500</v>
      </c>
      <c r="I39" s="40">
        <f t="shared" ref="I39" si="5">G39*H39</f>
        <v>760500</v>
      </c>
      <c r="J39" s="83"/>
      <c r="L39" s="606"/>
      <c r="M39" s="606"/>
      <c r="N39" s="132"/>
      <c r="P39" s="123"/>
    </row>
    <row r="40" spans="1:16" s="6" customFormat="1" ht="18" customHeight="1">
      <c r="A40" s="22"/>
      <c r="B40" s="18"/>
      <c r="C40" s="19"/>
      <c r="D40" s="349"/>
      <c r="E40" s="42" t="s">
        <v>45</v>
      </c>
      <c r="F40" s="23" t="s">
        <v>8</v>
      </c>
      <c r="G40" s="43">
        <v>35</v>
      </c>
      <c r="H40" s="44">
        <v>5000</v>
      </c>
      <c r="I40" s="44">
        <f t="shared" si="3"/>
        <v>175000</v>
      </c>
      <c r="J40" s="83"/>
      <c r="L40" s="606"/>
      <c r="M40" s="606"/>
      <c r="N40" s="188"/>
      <c r="P40" s="123"/>
    </row>
    <row r="41" spans="1:16" s="6" customFormat="1" ht="18" customHeight="1">
      <c r="A41" s="77" t="s">
        <v>19</v>
      </c>
      <c r="B41" s="289" t="s">
        <v>219</v>
      </c>
      <c r="C41" s="78" t="s">
        <v>1</v>
      </c>
      <c r="D41" s="348">
        <v>147.62</v>
      </c>
      <c r="E41" s="71"/>
      <c r="F41" s="21"/>
      <c r="G41" s="64"/>
      <c r="H41" s="38"/>
      <c r="I41" s="38">
        <f>+G41*H41</f>
        <v>0</v>
      </c>
      <c r="J41" s="83"/>
      <c r="K41" s="605"/>
      <c r="L41" s="610"/>
      <c r="M41" s="606"/>
      <c r="N41" s="188"/>
      <c r="P41" s="123"/>
    </row>
    <row r="42" spans="1:16" s="6" customFormat="1" ht="27" customHeight="1">
      <c r="A42" s="108"/>
      <c r="B42" s="90"/>
      <c r="C42" s="89"/>
      <c r="D42" s="350"/>
      <c r="E42" s="50" t="s">
        <v>314</v>
      </c>
      <c r="F42" s="27" t="s">
        <v>12</v>
      </c>
      <c r="G42" s="6">
        <v>250</v>
      </c>
      <c r="H42" s="40">
        <v>4000</v>
      </c>
      <c r="I42" s="40">
        <f t="shared" ref="I42:I46" si="6">G42*H42</f>
        <v>1000000</v>
      </c>
      <c r="J42" s="83"/>
      <c r="L42" s="598"/>
      <c r="M42" s="606"/>
      <c r="N42" s="600"/>
      <c r="P42" s="123"/>
    </row>
    <row r="43" spans="1:16" s="6" customFormat="1" ht="18" customHeight="1">
      <c r="A43" s="108"/>
      <c r="B43" s="90"/>
      <c r="C43" s="89"/>
      <c r="D43" s="350"/>
      <c r="E43" s="50" t="s">
        <v>62</v>
      </c>
      <c r="F43" s="27" t="s">
        <v>12</v>
      </c>
      <c r="G43" s="6">
        <v>150</v>
      </c>
      <c r="H43" s="40">
        <v>4000</v>
      </c>
      <c r="I43" s="40">
        <f t="shared" si="6"/>
        <v>600000</v>
      </c>
      <c r="J43" s="83"/>
      <c r="L43" s="598"/>
      <c r="M43" s="606"/>
      <c r="N43" s="600"/>
      <c r="P43" s="123"/>
    </row>
    <row r="44" spans="1:16" s="6" customFormat="1" ht="18" customHeight="1">
      <c r="A44" s="108"/>
      <c r="B44" s="90"/>
      <c r="C44" s="89"/>
      <c r="D44" s="350"/>
      <c r="E44" s="50" t="s">
        <v>96</v>
      </c>
      <c r="F44" s="27" t="s">
        <v>12</v>
      </c>
      <c r="G44" s="6">
        <v>80</v>
      </c>
      <c r="H44" s="40">
        <v>3500</v>
      </c>
      <c r="I44" s="40">
        <f t="shared" si="6"/>
        <v>280000</v>
      </c>
      <c r="J44" s="83"/>
      <c r="L44" s="598"/>
      <c r="M44" s="606"/>
      <c r="N44" s="600"/>
      <c r="P44" s="123"/>
    </row>
    <row r="45" spans="1:16" s="6" customFormat="1" ht="18" customHeight="1">
      <c r="A45" s="108"/>
      <c r="B45" s="90"/>
      <c r="C45" s="89"/>
      <c r="D45" s="350"/>
      <c r="E45" s="51" t="s">
        <v>315</v>
      </c>
      <c r="F45" s="27" t="s">
        <v>8</v>
      </c>
      <c r="G45" s="6">
        <v>10</v>
      </c>
      <c r="H45" s="40">
        <v>5000</v>
      </c>
      <c r="I45" s="40">
        <f t="shared" si="6"/>
        <v>50000</v>
      </c>
      <c r="J45" s="83"/>
      <c r="L45" s="598"/>
      <c r="M45" s="606"/>
      <c r="N45" s="600"/>
      <c r="P45" s="123"/>
    </row>
    <row r="46" spans="1:16" s="6" customFormat="1" ht="18" customHeight="1">
      <c r="A46" s="316"/>
      <c r="B46" s="75"/>
      <c r="C46" s="93"/>
      <c r="D46" s="349"/>
      <c r="E46" s="52" t="s">
        <v>50</v>
      </c>
      <c r="F46" s="23" t="s">
        <v>8</v>
      </c>
      <c r="G46" s="43">
        <v>5</v>
      </c>
      <c r="H46" s="44">
        <v>5000</v>
      </c>
      <c r="I46" s="44">
        <f t="shared" si="6"/>
        <v>25000</v>
      </c>
      <c r="J46" s="83"/>
      <c r="L46" s="598"/>
      <c r="M46" s="606"/>
      <c r="N46" s="600"/>
      <c r="P46" s="123"/>
    </row>
    <row r="47" spans="1:16" s="6" customFormat="1" ht="30" customHeight="1">
      <c r="A47" s="263"/>
      <c r="B47" s="264"/>
      <c r="C47" s="265"/>
      <c r="D47" s="266"/>
      <c r="E47" s="267"/>
      <c r="F47" s="769" t="s">
        <v>274</v>
      </c>
      <c r="G47" s="770"/>
      <c r="H47" s="771"/>
      <c r="I47" s="268">
        <f>SUBTOTAL(9,I18:I46)</f>
        <v>15884800</v>
      </c>
      <c r="J47" s="616"/>
      <c r="L47" s="606"/>
      <c r="M47" s="606"/>
      <c r="N47" s="188"/>
      <c r="P47" s="123"/>
    </row>
    <row r="48" spans="1:16" s="6" customFormat="1" ht="15" customHeight="1">
      <c r="A48" s="785" t="s">
        <v>180</v>
      </c>
      <c r="B48" s="785"/>
      <c r="C48" s="785"/>
      <c r="D48" s="785"/>
      <c r="E48" s="49"/>
      <c r="F48" s="54"/>
      <c r="G48" s="54"/>
      <c r="H48" s="54"/>
      <c r="I48" s="57"/>
      <c r="J48" s="57"/>
      <c r="L48" s="606"/>
      <c r="M48" s="606"/>
      <c r="N48" s="188"/>
      <c r="P48" s="123"/>
    </row>
    <row r="49" spans="1:16" s="6" customFormat="1" ht="15" customHeight="1">
      <c r="A49" s="34"/>
      <c r="B49" s="5"/>
      <c r="C49" s="4"/>
      <c r="D49" s="48"/>
      <c r="E49" s="49"/>
      <c r="F49" s="54"/>
      <c r="G49" s="54"/>
      <c r="H49" s="54"/>
      <c r="I49" s="57"/>
      <c r="J49" s="57"/>
      <c r="L49" s="606"/>
      <c r="M49" s="606"/>
      <c r="N49" s="188"/>
      <c r="P49" s="123"/>
    </row>
    <row r="50" spans="1:16" s="3" customFormat="1" ht="18" customHeight="1">
      <c r="A50" s="20" t="s">
        <v>30</v>
      </c>
      <c r="B50" s="20" t="s">
        <v>31</v>
      </c>
      <c r="C50" s="20" t="s">
        <v>12</v>
      </c>
      <c r="D50" s="20" t="s">
        <v>32</v>
      </c>
      <c r="E50" s="20" t="s">
        <v>34</v>
      </c>
      <c r="F50" s="20" t="s">
        <v>12</v>
      </c>
      <c r="G50" s="36" t="s">
        <v>32</v>
      </c>
      <c r="H50" s="37" t="s">
        <v>40</v>
      </c>
      <c r="I50" s="37" t="s">
        <v>33</v>
      </c>
      <c r="J50" s="613"/>
      <c r="K50" s="187"/>
      <c r="L50" s="607"/>
      <c r="M50" s="607"/>
      <c r="N50" s="132"/>
      <c r="O50" s="187"/>
      <c r="P50" s="599"/>
    </row>
    <row r="51" spans="1:16" ht="38.25">
      <c r="A51" s="32" t="s">
        <v>7</v>
      </c>
      <c r="B51" s="285" t="s">
        <v>276</v>
      </c>
      <c r="C51" s="16" t="s">
        <v>2</v>
      </c>
      <c r="D51" s="24">
        <v>50.872</v>
      </c>
      <c r="E51" s="21" t="s">
        <v>41</v>
      </c>
      <c r="F51" s="21"/>
      <c r="H51" s="38"/>
      <c r="I51" s="38"/>
      <c r="J51" s="83"/>
    </row>
    <row r="52" spans="1:16" ht="18" customHeight="1">
      <c r="A52" s="25"/>
      <c r="B52" s="15"/>
      <c r="C52" s="17"/>
      <c r="D52" s="26"/>
      <c r="E52" s="39" t="s">
        <v>106</v>
      </c>
      <c r="F52" s="27" t="s">
        <v>23</v>
      </c>
      <c r="G52" s="6">
        <v>341</v>
      </c>
      <c r="H52" s="40">
        <v>26600</v>
      </c>
      <c r="I52" s="40">
        <f>G52*H52</f>
        <v>9070600</v>
      </c>
      <c r="J52" s="83"/>
    </row>
    <row r="53" spans="1:16" ht="18" customHeight="1">
      <c r="A53" s="25"/>
      <c r="B53" s="15"/>
      <c r="C53" s="17"/>
      <c r="D53" s="26"/>
      <c r="E53" s="39" t="s">
        <v>42</v>
      </c>
      <c r="F53" s="27" t="s">
        <v>2</v>
      </c>
      <c r="G53" s="123">
        <v>25</v>
      </c>
      <c r="H53" s="40">
        <f>H20</f>
        <v>8000</v>
      </c>
      <c r="I53" s="40">
        <f t="shared" ref="I53:I54" si="7">G53*H53</f>
        <v>200000</v>
      </c>
      <c r="J53" s="83"/>
    </row>
    <row r="54" spans="1:16" ht="18" customHeight="1">
      <c r="A54" s="22"/>
      <c r="B54" s="18"/>
      <c r="C54" s="19"/>
      <c r="D54" s="41"/>
      <c r="E54" s="42" t="s">
        <v>348</v>
      </c>
      <c r="F54" s="23" t="s">
        <v>2</v>
      </c>
      <c r="G54" s="126">
        <v>40</v>
      </c>
      <c r="H54" s="44">
        <f>H21</f>
        <v>40000</v>
      </c>
      <c r="I54" s="44">
        <f t="shared" si="7"/>
        <v>1600000</v>
      </c>
      <c r="J54" s="83"/>
    </row>
    <row r="55" spans="1:16" ht="26.25" customHeight="1">
      <c r="A55" s="32" t="s">
        <v>121</v>
      </c>
      <c r="B55" s="15" t="s">
        <v>218</v>
      </c>
      <c r="C55" s="17" t="s">
        <v>18</v>
      </c>
      <c r="D55" s="28">
        <v>3722.04</v>
      </c>
      <c r="E55" s="39"/>
      <c r="F55" s="27"/>
      <c r="H55" s="40"/>
      <c r="I55" s="40"/>
      <c r="J55" s="83"/>
    </row>
    <row r="56" spans="1:16" ht="18" customHeight="1">
      <c r="A56" s="25"/>
      <c r="B56" s="15"/>
      <c r="C56" s="17"/>
      <c r="D56" s="28"/>
      <c r="E56" s="39" t="s">
        <v>35</v>
      </c>
      <c r="F56" s="27" t="s">
        <v>37</v>
      </c>
      <c r="G56" s="6">
        <v>287</v>
      </c>
      <c r="H56" s="683">
        <f>H34</f>
        <v>7000</v>
      </c>
      <c r="I56" s="40">
        <f t="shared" ref="I56:I60" si="8">G56*H56</f>
        <v>2009000</v>
      </c>
      <c r="J56" s="83"/>
    </row>
    <row r="57" spans="1:16" ht="18" customHeight="1">
      <c r="A57" s="25"/>
      <c r="B57" s="15"/>
      <c r="C57" s="17"/>
      <c r="D57" s="28"/>
      <c r="E57" s="39" t="s">
        <v>36</v>
      </c>
      <c r="F57" s="27" t="s">
        <v>37</v>
      </c>
      <c r="G57" s="6">
        <v>293</v>
      </c>
      <c r="H57" s="683">
        <f>H36</f>
        <v>11300</v>
      </c>
      <c r="I57" s="40">
        <f t="shared" si="8"/>
        <v>3310900</v>
      </c>
      <c r="J57" s="83"/>
    </row>
    <row r="58" spans="1:16" ht="18" customHeight="1">
      <c r="A58" s="25"/>
      <c r="B58" s="15"/>
      <c r="C58" s="17"/>
      <c r="D58" s="28"/>
      <c r="E58" s="39" t="s">
        <v>46</v>
      </c>
      <c r="F58" s="27" t="s">
        <v>37</v>
      </c>
      <c r="G58" s="6">
        <v>167</v>
      </c>
      <c r="H58" s="683">
        <f>H37</f>
        <v>17300</v>
      </c>
      <c r="I58" s="40">
        <f t="shared" si="8"/>
        <v>2889100</v>
      </c>
      <c r="J58" s="83"/>
    </row>
    <row r="59" spans="1:16" ht="18" customHeight="1">
      <c r="A59" s="25"/>
      <c r="B59" s="15"/>
      <c r="C59" s="17"/>
      <c r="D59" s="28"/>
      <c r="E59" s="39" t="s">
        <v>47</v>
      </c>
      <c r="F59" s="27" t="s">
        <v>37</v>
      </c>
      <c r="G59" s="6">
        <v>116</v>
      </c>
      <c r="H59" s="683">
        <f>H38</f>
        <v>25200</v>
      </c>
      <c r="I59" s="40">
        <f t="shared" si="8"/>
        <v>2923200</v>
      </c>
      <c r="J59" s="83"/>
    </row>
    <row r="60" spans="1:16" ht="18" customHeight="1">
      <c r="A60" s="22"/>
      <c r="B60" s="18"/>
      <c r="C60" s="19"/>
      <c r="D60" s="29"/>
      <c r="E60" s="42" t="s">
        <v>45</v>
      </c>
      <c r="F60" s="23" t="s">
        <v>8</v>
      </c>
      <c r="G60" s="43">
        <v>75</v>
      </c>
      <c r="H60" s="44">
        <f>H40</f>
        <v>5000</v>
      </c>
      <c r="I60" s="44">
        <f t="shared" si="8"/>
        <v>375000</v>
      </c>
      <c r="J60" s="83"/>
    </row>
    <row r="61" spans="1:16" s="132" customFormat="1" ht="18" customHeight="1">
      <c r="A61" s="310" t="s">
        <v>122</v>
      </c>
      <c r="B61" s="289" t="s">
        <v>219</v>
      </c>
      <c r="C61" s="78" t="s">
        <v>1</v>
      </c>
      <c r="D61" s="28">
        <v>402.55</v>
      </c>
      <c r="E61" s="39"/>
      <c r="F61" s="27"/>
      <c r="G61" s="200"/>
      <c r="H61" s="79"/>
      <c r="I61" s="79"/>
      <c r="J61" s="209"/>
      <c r="K61" s="188"/>
      <c r="L61" s="608"/>
      <c r="M61" s="608"/>
      <c r="O61" s="188"/>
      <c r="P61" s="600"/>
    </row>
    <row r="62" spans="1:16" ht="27" customHeight="1">
      <c r="A62" s="25"/>
      <c r="B62" s="15"/>
      <c r="C62" s="17"/>
      <c r="D62" s="28"/>
      <c r="E62" s="50" t="s">
        <v>314</v>
      </c>
      <c r="F62" s="27" t="s">
        <v>12</v>
      </c>
      <c r="G62" s="6">
        <v>650</v>
      </c>
      <c r="H62" s="40">
        <v>4000</v>
      </c>
      <c r="I62" s="40">
        <f t="shared" ref="I62:I66" si="9">G62*H62</f>
        <v>2600000</v>
      </c>
      <c r="J62" s="83"/>
    </row>
    <row r="63" spans="1:16" ht="18" customHeight="1">
      <c r="A63" s="25"/>
      <c r="B63" s="15"/>
      <c r="C63" s="17"/>
      <c r="D63" s="28"/>
      <c r="E63" s="50" t="s">
        <v>62</v>
      </c>
      <c r="F63" s="27" t="s">
        <v>12</v>
      </c>
      <c r="G63" s="6">
        <v>100</v>
      </c>
      <c r="H63" s="40">
        <v>4000</v>
      </c>
      <c r="I63" s="40">
        <f t="shared" si="9"/>
        <v>400000</v>
      </c>
      <c r="J63" s="83"/>
    </row>
    <row r="64" spans="1:16" ht="18" customHeight="1">
      <c r="A64" s="25"/>
      <c r="B64" s="15"/>
      <c r="C64" s="17"/>
      <c r="D64" s="28"/>
      <c r="E64" s="50" t="s">
        <v>96</v>
      </c>
      <c r="F64" s="27" t="s">
        <v>12</v>
      </c>
      <c r="G64" s="6">
        <v>750</v>
      </c>
      <c r="H64" s="40">
        <v>3500</v>
      </c>
      <c r="I64" s="40">
        <f t="shared" si="9"/>
        <v>2625000</v>
      </c>
      <c r="J64" s="83"/>
    </row>
    <row r="65" spans="1:16" ht="18" customHeight="1">
      <c r="A65" s="25"/>
      <c r="B65" s="15"/>
      <c r="C65" s="17"/>
      <c r="D65" s="28"/>
      <c r="E65" s="51" t="s">
        <v>315</v>
      </c>
      <c r="F65" s="27" t="s">
        <v>8</v>
      </c>
      <c r="G65" s="6">
        <v>30</v>
      </c>
      <c r="H65" s="40">
        <v>5000</v>
      </c>
      <c r="I65" s="40">
        <f t="shared" si="9"/>
        <v>150000</v>
      </c>
      <c r="J65" s="83"/>
    </row>
    <row r="66" spans="1:16" ht="18" customHeight="1">
      <c r="A66" s="22"/>
      <c r="B66" s="18"/>
      <c r="C66" s="19"/>
      <c r="D66" s="29"/>
      <c r="E66" s="52" t="s">
        <v>50</v>
      </c>
      <c r="F66" s="23" t="s">
        <v>8</v>
      </c>
      <c r="G66" s="43">
        <v>60</v>
      </c>
      <c r="H66" s="44">
        <v>5000</v>
      </c>
      <c r="I66" s="44">
        <f t="shared" si="9"/>
        <v>300000</v>
      </c>
      <c r="J66" s="83"/>
    </row>
    <row r="67" spans="1:16" ht="18" customHeight="1">
      <c r="A67" s="570"/>
      <c r="B67" s="92"/>
      <c r="C67" s="571"/>
      <c r="D67" s="576"/>
      <c r="E67" s="577"/>
      <c r="F67" s="574"/>
      <c r="G67" s="43"/>
      <c r="H67" s="575"/>
      <c r="I67" s="575"/>
      <c r="J67" s="83"/>
    </row>
    <row r="68" spans="1:16" ht="25.5">
      <c r="A68" s="33" t="s">
        <v>123</v>
      </c>
      <c r="B68" s="15" t="s">
        <v>222</v>
      </c>
      <c r="C68" s="17" t="s">
        <v>1</v>
      </c>
      <c r="D68" s="30">
        <v>643.04999999999995</v>
      </c>
      <c r="E68" s="27"/>
      <c r="F68" s="27"/>
      <c r="H68" s="40"/>
      <c r="I68" s="40"/>
      <c r="J68" s="83"/>
    </row>
    <row r="69" spans="1:16" ht="18" customHeight="1">
      <c r="A69" s="33"/>
      <c r="B69" s="15"/>
      <c r="C69" s="17"/>
      <c r="D69" s="30"/>
      <c r="E69" s="55" t="s">
        <v>61</v>
      </c>
      <c r="F69" s="27" t="s">
        <v>12</v>
      </c>
      <c r="G69" s="56">
        <v>85300</v>
      </c>
      <c r="H69" s="40">
        <v>75</v>
      </c>
      <c r="I69" s="40">
        <f>G69*H69</f>
        <v>6397500</v>
      </c>
      <c r="J69" s="83"/>
    </row>
    <row r="70" spans="1:16" ht="18" customHeight="1">
      <c r="A70" s="22"/>
      <c r="B70" s="18"/>
      <c r="C70" s="19"/>
      <c r="D70" s="31"/>
      <c r="E70" s="53" t="s">
        <v>63</v>
      </c>
      <c r="F70" s="23" t="s">
        <v>2</v>
      </c>
      <c r="G70" s="43">
        <v>15</v>
      </c>
      <c r="H70" s="44">
        <v>25000</v>
      </c>
      <c r="I70" s="44">
        <f>G70*H70</f>
        <v>375000</v>
      </c>
      <c r="J70" s="83"/>
    </row>
    <row r="71" spans="1:16" ht="25.5">
      <c r="A71" s="32" t="s">
        <v>124</v>
      </c>
      <c r="B71" s="285" t="s">
        <v>221</v>
      </c>
      <c r="C71" s="17" t="s">
        <v>1</v>
      </c>
      <c r="D71" s="30">
        <v>20.28</v>
      </c>
      <c r="E71" s="27"/>
      <c r="F71" s="27"/>
      <c r="H71" s="40"/>
      <c r="I71" s="40"/>
      <c r="J71" s="83"/>
    </row>
    <row r="72" spans="1:16" ht="18" customHeight="1">
      <c r="A72" s="33"/>
      <c r="B72" s="15"/>
      <c r="C72" s="17"/>
      <c r="D72" s="30"/>
      <c r="E72" s="55" t="s">
        <v>61</v>
      </c>
      <c r="F72" s="27" t="s">
        <v>12</v>
      </c>
      <c r="G72" s="56">
        <v>1490</v>
      </c>
      <c r="H72" s="40">
        <f>H69</f>
        <v>75</v>
      </c>
      <c r="I72" s="40">
        <f>G72*H72</f>
        <v>111750</v>
      </c>
      <c r="J72" s="83"/>
    </row>
    <row r="73" spans="1:16" ht="18" customHeight="1">
      <c r="A73" s="33"/>
      <c r="B73" s="15"/>
      <c r="C73" s="17"/>
      <c r="D73" s="30"/>
      <c r="E73" s="39" t="s">
        <v>106</v>
      </c>
      <c r="F73" s="27" t="s">
        <v>23</v>
      </c>
      <c r="G73" s="66">
        <v>4</v>
      </c>
      <c r="H73" s="40">
        <f>H19</f>
        <v>23000</v>
      </c>
      <c r="I73" s="40">
        <f t="shared" ref="I73:I74" si="10">G73*H73</f>
        <v>92000</v>
      </c>
      <c r="J73" s="83"/>
    </row>
    <row r="74" spans="1:16" ht="18" customHeight="1">
      <c r="A74" s="22"/>
      <c r="B74" s="18"/>
      <c r="C74" s="19"/>
      <c r="D74" s="31"/>
      <c r="E74" s="42" t="s">
        <v>42</v>
      </c>
      <c r="F74" s="23" t="s">
        <v>2</v>
      </c>
      <c r="G74" s="126">
        <v>0.7</v>
      </c>
      <c r="H74" s="44">
        <f>H20</f>
        <v>8000</v>
      </c>
      <c r="I74" s="44">
        <f t="shared" si="10"/>
        <v>5600</v>
      </c>
      <c r="J74" s="83"/>
    </row>
    <row r="75" spans="1:16" s="132" customFormat="1" ht="18" customHeight="1">
      <c r="A75" s="310" t="s">
        <v>168</v>
      </c>
      <c r="B75" s="285" t="s">
        <v>225</v>
      </c>
      <c r="C75" s="17" t="s">
        <v>1</v>
      </c>
      <c r="D75" s="30">
        <v>2</v>
      </c>
      <c r="E75" s="39"/>
      <c r="F75" s="27"/>
      <c r="G75" s="203"/>
      <c r="H75" s="201"/>
      <c r="I75" s="79"/>
      <c r="J75" s="209"/>
      <c r="K75" s="188"/>
      <c r="L75" s="608"/>
      <c r="M75" s="608"/>
      <c r="O75" s="188"/>
      <c r="P75" s="600"/>
    </row>
    <row r="76" spans="1:16" ht="18" customHeight="1">
      <c r="A76" s="25"/>
      <c r="B76" s="15"/>
      <c r="C76" s="17"/>
      <c r="D76" s="30"/>
      <c r="E76" s="39" t="s">
        <v>277</v>
      </c>
      <c r="F76" s="27" t="s">
        <v>12</v>
      </c>
      <c r="G76" s="229">
        <v>20</v>
      </c>
      <c r="H76" s="296">
        <v>7300</v>
      </c>
      <c r="I76" s="40">
        <f>G76*H76</f>
        <v>146000</v>
      </c>
      <c r="J76" s="83"/>
    </row>
    <row r="77" spans="1:16" ht="18" customHeight="1">
      <c r="A77" s="25"/>
      <c r="B77" s="15"/>
      <c r="C77" s="17"/>
      <c r="D77" s="30"/>
      <c r="E77" s="39" t="s">
        <v>278</v>
      </c>
      <c r="F77" s="27" t="s">
        <v>37</v>
      </c>
      <c r="G77" s="229">
        <v>1</v>
      </c>
      <c r="H77" s="296">
        <f>H34</f>
        <v>7000</v>
      </c>
      <c r="I77" s="40">
        <f t="shared" ref="I77:I79" si="11">G77*H77</f>
        <v>7000</v>
      </c>
      <c r="J77" s="83"/>
    </row>
    <row r="78" spans="1:16" ht="18" customHeight="1">
      <c r="A78" s="25"/>
      <c r="B78" s="15"/>
      <c r="C78" s="17"/>
      <c r="D78" s="30"/>
      <c r="E78" s="39" t="s">
        <v>106</v>
      </c>
      <c r="F78" s="27" t="s">
        <v>23</v>
      </c>
      <c r="G78" s="229">
        <v>1</v>
      </c>
      <c r="H78" s="130">
        <f>H19</f>
        <v>23000</v>
      </c>
      <c r="I78" s="40">
        <f t="shared" si="11"/>
        <v>23000</v>
      </c>
      <c r="J78" s="83"/>
    </row>
    <row r="79" spans="1:16" ht="18" customHeight="1">
      <c r="A79" s="22"/>
      <c r="B79" s="18"/>
      <c r="C79" s="19"/>
      <c r="D79" s="31"/>
      <c r="E79" s="42" t="s">
        <v>42</v>
      </c>
      <c r="F79" s="23" t="s">
        <v>2</v>
      </c>
      <c r="G79" s="125">
        <v>0.1</v>
      </c>
      <c r="H79" s="129">
        <f>H20</f>
        <v>8000</v>
      </c>
      <c r="I79" s="44">
        <f t="shared" si="11"/>
        <v>800</v>
      </c>
      <c r="J79" s="83"/>
    </row>
    <row r="80" spans="1:16" ht="33" customHeight="1">
      <c r="A80" s="34"/>
      <c r="B80" s="5"/>
      <c r="C80" s="4"/>
      <c r="D80" s="48"/>
      <c r="E80" s="49"/>
      <c r="F80" s="769" t="s">
        <v>275</v>
      </c>
      <c r="G80" s="770"/>
      <c r="H80" s="771"/>
      <c r="I80" s="60">
        <f>SUM(I51:I79)</f>
        <v>35611450</v>
      </c>
      <c r="J80" s="61"/>
    </row>
    <row r="81" spans="1:16" ht="15" customHeight="1">
      <c r="A81" s="772" t="s">
        <v>170</v>
      </c>
      <c r="B81" s="772"/>
      <c r="C81" s="2"/>
    </row>
    <row r="82" spans="1:16" ht="15" customHeight="1"/>
    <row r="83" spans="1:16" s="3" customFormat="1" ht="18" customHeight="1">
      <c r="A83" s="20" t="s">
        <v>30</v>
      </c>
      <c r="B83" s="20" t="s">
        <v>31</v>
      </c>
      <c r="C83" s="20" t="s">
        <v>12</v>
      </c>
      <c r="D83" s="20" t="s">
        <v>32</v>
      </c>
      <c r="E83" s="20" t="s">
        <v>34</v>
      </c>
      <c r="F83" s="20" t="s">
        <v>12</v>
      </c>
      <c r="G83" s="36" t="s">
        <v>32</v>
      </c>
      <c r="H83" s="37" t="s">
        <v>40</v>
      </c>
      <c r="I83" s="37" t="s">
        <v>33</v>
      </c>
      <c r="J83" s="613"/>
      <c r="K83" s="187"/>
      <c r="L83" s="607"/>
      <c r="M83" s="607"/>
      <c r="N83" s="132"/>
      <c r="O83" s="187"/>
      <c r="P83" s="599"/>
    </row>
    <row r="84" spans="1:16" s="3" customFormat="1" ht="27" customHeight="1">
      <c r="A84" s="32" t="s">
        <v>9</v>
      </c>
      <c r="B84" s="289" t="s">
        <v>316</v>
      </c>
      <c r="C84" s="78" t="s">
        <v>1</v>
      </c>
      <c r="D84" s="120">
        <v>1490.62</v>
      </c>
      <c r="E84" s="80"/>
      <c r="F84" s="80"/>
      <c r="G84" s="127"/>
      <c r="H84" s="81"/>
      <c r="I84" s="81"/>
      <c r="J84" s="617"/>
      <c r="K84" s="187"/>
      <c r="L84" s="607"/>
      <c r="M84" s="607"/>
      <c r="N84" s="132"/>
      <c r="O84" s="187"/>
      <c r="P84" s="599"/>
    </row>
    <row r="85" spans="1:16" s="3" customFormat="1" ht="18" customHeight="1">
      <c r="A85" s="25"/>
      <c r="B85" s="141"/>
      <c r="C85" s="17"/>
      <c r="D85" s="311"/>
      <c r="E85" s="39" t="s">
        <v>106</v>
      </c>
      <c r="F85" s="27" t="s">
        <v>23</v>
      </c>
      <c r="G85" s="142">
        <v>188</v>
      </c>
      <c r="H85" s="143">
        <f>H19</f>
        <v>23000</v>
      </c>
      <c r="I85" s="143">
        <f>+G85*H85</f>
        <v>4324000</v>
      </c>
      <c r="J85" s="614"/>
      <c r="K85" s="187"/>
      <c r="L85" s="607"/>
      <c r="M85" s="607"/>
      <c r="N85" s="132"/>
      <c r="O85" s="187"/>
      <c r="P85" s="599"/>
    </row>
    <row r="86" spans="1:16" s="3" customFormat="1" ht="18" customHeight="1">
      <c r="A86" s="22"/>
      <c r="B86" s="82"/>
      <c r="C86" s="19"/>
      <c r="D86" s="312"/>
      <c r="E86" s="42" t="s">
        <v>42</v>
      </c>
      <c r="F86" s="27" t="s">
        <v>2</v>
      </c>
      <c r="G86" s="144">
        <v>32</v>
      </c>
      <c r="H86" s="134">
        <f>H20</f>
        <v>8000</v>
      </c>
      <c r="I86" s="143">
        <f>+G86*H86</f>
        <v>256000</v>
      </c>
      <c r="J86" s="614"/>
      <c r="K86" s="187"/>
      <c r="L86" s="607"/>
      <c r="M86" s="607"/>
      <c r="N86" s="132"/>
      <c r="O86" s="187"/>
      <c r="P86" s="599"/>
    </row>
    <row r="87" spans="1:16" s="3" customFormat="1" ht="27" customHeight="1">
      <c r="A87" s="32" t="s">
        <v>66</v>
      </c>
      <c r="B87" s="289" t="s">
        <v>224</v>
      </c>
      <c r="C87" s="78" t="s">
        <v>1</v>
      </c>
      <c r="D87" s="120">
        <v>44.96</v>
      </c>
      <c r="E87" s="80"/>
      <c r="F87" s="80"/>
      <c r="G87" s="127"/>
      <c r="H87" s="81"/>
      <c r="I87" s="81"/>
      <c r="J87" s="617"/>
      <c r="K87" s="187"/>
      <c r="L87" s="607"/>
      <c r="M87" s="607"/>
      <c r="N87" s="132"/>
      <c r="O87" s="187"/>
      <c r="P87" s="599"/>
    </row>
    <row r="88" spans="1:16" s="3" customFormat="1" ht="18" customHeight="1">
      <c r="A88" s="25"/>
      <c r="B88" s="141"/>
      <c r="C88" s="17"/>
      <c r="D88" s="311"/>
      <c r="E88" s="39" t="s">
        <v>106</v>
      </c>
      <c r="F88" s="27" t="s">
        <v>23</v>
      </c>
      <c r="G88" s="142">
        <v>9</v>
      </c>
      <c r="H88" s="143">
        <f>H19</f>
        <v>23000</v>
      </c>
      <c r="I88" s="143">
        <f>+G88*H88</f>
        <v>207000</v>
      </c>
      <c r="J88" s="614"/>
      <c r="K88" s="187"/>
      <c r="L88" s="607"/>
      <c r="M88" s="607"/>
      <c r="N88" s="132"/>
      <c r="O88" s="187"/>
      <c r="P88" s="599"/>
    </row>
    <row r="89" spans="1:16" s="3" customFormat="1" ht="18" customHeight="1">
      <c r="A89" s="22"/>
      <c r="B89" s="82"/>
      <c r="C89" s="19"/>
      <c r="D89" s="312"/>
      <c r="E89" s="42" t="s">
        <v>42</v>
      </c>
      <c r="F89" s="27" t="s">
        <v>2</v>
      </c>
      <c r="G89" s="144">
        <v>1</v>
      </c>
      <c r="H89" s="134">
        <f>H20</f>
        <v>8000</v>
      </c>
      <c r="I89" s="143">
        <f>+G89*H89</f>
        <v>8000</v>
      </c>
      <c r="J89" s="614"/>
      <c r="K89" s="187"/>
      <c r="L89" s="607"/>
      <c r="M89" s="607"/>
      <c r="N89" s="132"/>
      <c r="O89" s="187"/>
      <c r="P89" s="599"/>
    </row>
    <row r="90" spans="1:16" s="3" customFormat="1" ht="29.25" customHeight="1">
      <c r="A90" s="34"/>
      <c r="B90" s="269"/>
      <c r="C90" s="4"/>
      <c r="D90" s="262"/>
      <c r="E90" s="267"/>
      <c r="F90" s="769" t="s">
        <v>103</v>
      </c>
      <c r="G90" s="770"/>
      <c r="H90" s="771"/>
      <c r="I90" s="270">
        <f>SUM(I84:I89)</f>
        <v>4795000</v>
      </c>
      <c r="J90" s="618"/>
      <c r="K90" s="187"/>
      <c r="L90" s="607"/>
      <c r="M90" s="607"/>
      <c r="N90" s="132"/>
      <c r="O90" s="187"/>
      <c r="P90" s="599"/>
    </row>
    <row r="91" spans="1:16" ht="15" customHeight="1">
      <c r="A91" s="772" t="s">
        <v>226</v>
      </c>
      <c r="B91" s="772"/>
      <c r="C91" s="2"/>
    </row>
    <row r="92" spans="1:16" ht="15" customHeight="1"/>
    <row r="93" spans="1:16" s="3" customFormat="1" ht="18" customHeight="1">
      <c r="A93" s="20" t="s">
        <v>30</v>
      </c>
      <c r="B93" s="20" t="s">
        <v>31</v>
      </c>
      <c r="C93" s="20" t="s">
        <v>12</v>
      </c>
      <c r="D93" s="20" t="s">
        <v>32</v>
      </c>
      <c r="E93" s="20" t="s">
        <v>34</v>
      </c>
      <c r="F93" s="20" t="s">
        <v>12</v>
      </c>
      <c r="G93" s="36" t="s">
        <v>32</v>
      </c>
      <c r="H93" s="37" t="s">
        <v>40</v>
      </c>
      <c r="I93" s="37" t="s">
        <v>33</v>
      </c>
      <c r="J93" s="613"/>
      <c r="K93" s="6"/>
      <c r="L93" s="607"/>
      <c r="M93" s="607"/>
      <c r="N93" s="132"/>
      <c r="O93" s="6"/>
      <c r="P93" s="123"/>
    </row>
    <row r="94" spans="1:16" s="3" customFormat="1" ht="27" customHeight="1">
      <c r="A94" s="32" t="s">
        <v>73</v>
      </c>
      <c r="B94" s="289" t="s">
        <v>228</v>
      </c>
      <c r="C94" s="78" t="s">
        <v>1</v>
      </c>
      <c r="D94" s="120">
        <v>50.46</v>
      </c>
      <c r="E94" s="80"/>
      <c r="F94" s="80"/>
      <c r="G94" s="127"/>
      <c r="H94" s="81"/>
      <c r="I94" s="81"/>
      <c r="J94" s="617"/>
      <c r="K94" s="6"/>
      <c r="L94" s="607"/>
      <c r="M94" s="607"/>
      <c r="N94" s="132"/>
      <c r="O94" s="6"/>
      <c r="P94" s="123"/>
    </row>
    <row r="95" spans="1:16" s="3" customFormat="1" ht="18.75" customHeight="1">
      <c r="A95" s="25"/>
      <c r="B95" s="90"/>
      <c r="C95" s="89"/>
      <c r="D95" s="30"/>
      <c r="E95" s="39" t="s">
        <v>284</v>
      </c>
      <c r="F95" s="27" t="s">
        <v>1</v>
      </c>
      <c r="G95" s="142">
        <v>50.46</v>
      </c>
      <c r="H95" s="295">
        <v>20800</v>
      </c>
      <c r="I95" s="143">
        <f>G95*H95</f>
        <v>1049568</v>
      </c>
      <c r="J95" s="614"/>
      <c r="K95" s="6"/>
      <c r="L95" s="607"/>
      <c r="M95" s="607"/>
      <c r="N95" s="132"/>
      <c r="O95" s="6"/>
      <c r="P95" s="123"/>
    </row>
    <row r="96" spans="1:16" s="3" customFormat="1" ht="18.75" customHeight="1">
      <c r="A96" s="25"/>
      <c r="B96" s="141"/>
      <c r="C96" s="17"/>
      <c r="D96" s="311"/>
      <c r="E96" s="39" t="s">
        <v>106</v>
      </c>
      <c r="F96" s="27" t="s">
        <v>23</v>
      </c>
      <c r="G96" s="142">
        <v>7</v>
      </c>
      <c r="H96" s="143">
        <v>23000</v>
      </c>
      <c r="I96" s="143">
        <f>+G96*H96</f>
        <v>161000</v>
      </c>
      <c r="J96" s="614"/>
      <c r="K96" s="6"/>
      <c r="L96" s="607"/>
      <c r="M96" s="607"/>
      <c r="N96" s="132"/>
      <c r="O96" s="6"/>
      <c r="P96" s="123"/>
    </row>
    <row r="97" spans="1:18" s="3" customFormat="1" ht="18.75" customHeight="1">
      <c r="A97" s="22"/>
      <c r="B97" s="82"/>
      <c r="C97" s="19"/>
      <c r="D97" s="312"/>
      <c r="E97" s="42" t="s">
        <v>42</v>
      </c>
      <c r="F97" s="23" t="s">
        <v>2</v>
      </c>
      <c r="G97" s="144">
        <v>2</v>
      </c>
      <c r="H97" s="134">
        <f>H20</f>
        <v>8000</v>
      </c>
      <c r="I97" s="134">
        <f>+G97*H97</f>
        <v>16000</v>
      </c>
      <c r="J97" s="614"/>
      <c r="K97" s="6"/>
      <c r="L97" s="607"/>
      <c r="M97" s="607"/>
      <c r="N97" s="132"/>
      <c r="O97" s="6"/>
      <c r="P97" s="123"/>
    </row>
    <row r="98" spans="1:18" s="3" customFormat="1" ht="18.75" customHeight="1">
      <c r="A98" s="567"/>
      <c r="B98" s="578"/>
      <c r="C98" s="179"/>
      <c r="D98" s="579"/>
      <c r="E98" s="568"/>
      <c r="F98" s="569"/>
      <c r="G98" s="566"/>
      <c r="H98" s="580"/>
      <c r="I98" s="580"/>
      <c r="J98" s="614"/>
      <c r="K98" s="6"/>
      <c r="L98" s="607"/>
      <c r="M98" s="607"/>
      <c r="N98" s="132"/>
      <c r="O98" s="6"/>
      <c r="P98" s="123"/>
    </row>
    <row r="99" spans="1:18" s="3" customFormat="1" ht="18.75" customHeight="1">
      <c r="A99" s="310" t="s">
        <v>74</v>
      </c>
      <c r="B99" s="289" t="s">
        <v>229</v>
      </c>
      <c r="C99" s="78" t="s">
        <v>1</v>
      </c>
      <c r="D99" s="120">
        <v>330.16</v>
      </c>
      <c r="E99" s="71"/>
      <c r="F99" s="21"/>
      <c r="G99" s="566"/>
      <c r="H99" s="128"/>
      <c r="I99" s="128"/>
      <c r="J99" s="614"/>
      <c r="K99" s="6"/>
      <c r="L99" s="607"/>
      <c r="M99" s="607"/>
      <c r="N99" s="132"/>
      <c r="O99" s="6"/>
      <c r="P99" s="123"/>
    </row>
    <row r="100" spans="1:18" s="3" customFormat="1" ht="18.75" customHeight="1">
      <c r="A100" s="25"/>
      <c r="B100" s="90"/>
      <c r="C100" s="89"/>
      <c r="D100" s="311"/>
      <c r="E100" s="39" t="s">
        <v>204</v>
      </c>
      <c r="F100" s="27" t="s">
        <v>1</v>
      </c>
      <c r="G100" s="142">
        <v>330.16</v>
      </c>
      <c r="H100" s="295">
        <v>22000</v>
      </c>
      <c r="I100" s="143">
        <f>G100*H100</f>
        <v>7263520.0000000009</v>
      </c>
      <c r="J100" s="614"/>
      <c r="K100" s="6"/>
      <c r="L100" s="607"/>
      <c r="M100" s="607"/>
      <c r="N100" s="132"/>
      <c r="O100" s="6"/>
      <c r="P100" s="123"/>
    </row>
    <row r="101" spans="1:18" s="3" customFormat="1" ht="18.75" customHeight="1">
      <c r="A101" s="25"/>
      <c r="B101" s="210"/>
      <c r="C101" s="17"/>
      <c r="D101" s="311"/>
      <c r="E101" s="39" t="s">
        <v>106</v>
      </c>
      <c r="F101" s="27" t="s">
        <v>23</v>
      </c>
      <c r="G101" s="142">
        <v>115</v>
      </c>
      <c r="H101" s="143">
        <v>23000</v>
      </c>
      <c r="I101" s="143">
        <f t="shared" ref="I101:I102" si="12">G101*H101</f>
        <v>2645000</v>
      </c>
      <c r="J101" s="614"/>
      <c r="K101" s="6"/>
      <c r="L101" s="607"/>
      <c r="M101" s="607"/>
      <c r="N101" s="132"/>
      <c r="O101" s="6"/>
      <c r="P101" s="123"/>
    </row>
    <row r="102" spans="1:18" s="3" customFormat="1" ht="18.75" customHeight="1">
      <c r="A102" s="25"/>
      <c r="B102" s="210"/>
      <c r="C102" s="17"/>
      <c r="D102" s="311"/>
      <c r="E102" s="42" t="s">
        <v>42</v>
      </c>
      <c r="F102" s="23" t="s">
        <v>2</v>
      </c>
      <c r="G102" s="144">
        <v>12</v>
      </c>
      <c r="H102" s="143">
        <f>H20</f>
        <v>8000</v>
      </c>
      <c r="I102" s="143">
        <f t="shared" si="12"/>
        <v>96000</v>
      </c>
      <c r="J102" s="614"/>
      <c r="K102" s="6"/>
      <c r="L102" s="607"/>
      <c r="M102" s="607"/>
      <c r="N102" s="132"/>
      <c r="O102" s="6"/>
      <c r="P102" s="123"/>
    </row>
    <row r="103" spans="1:18" s="3" customFormat="1" ht="18.75" customHeight="1">
      <c r="A103" s="310" t="s">
        <v>75</v>
      </c>
      <c r="B103" s="285" t="s">
        <v>227</v>
      </c>
      <c r="C103" s="78" t="s">
        <v>10</v>
      </c>
      <c r="D103" s="120">
        <v>146.6</v>
      </c>
      <c r="E103" s="565"/>
      <c r="F103" s="565"/>
      <c r="G103" s="566"/>
      <c r="H103" s="128"/>
      <c r="I103" s="128"/>
      <c r="J103" s="614"/>
      <c r="K103" s="187"/>
      <c r="L103" s="607"/>
      <c r="M103" s="607"/>
      <c r="N103" s="132"/>
      <c r="O103" s="187"/>
      <c r="P103" s="599"/>
    </row>
    <row r="104" spans="1:18" s="3" customFormat="1" ht="18.75" customHeight="1">
      <c r="A104" s="25"/>
      <c r="B104" s="15"/>
      <c r="C104" s="89"/>
      <c r="D104" s="30"/>
      <c r="E104" s="39" t="s">
        <v>204</v>
      </c>
      <c r="F104" s="27" t="s">
        <v>1</v>
      </c>
      <c r="G104" s="142">
        <v>14.85</v>
      </c>
      <c r="H104" s="295">
        <f>H95</f>
        <v>20800</v>
      </c>
      <c r="I104" s="143">
        <f>G104*H104</f>
        <v>308880</v>
      </c>
      <c r="J104" s="614"/>
      <c r="K104" s="187"/>
      <c r="L104" s="607"/>
      <c r="M104" s="607"/>
      <c r="N104" s="132"/>
      <c r="O104" s="187"/>
      <c r="P104" s="599"/>
      <c r="Q104" s="684"/>
      <c r="R104" s="3">
        <v>88</v>
      </c>
    </row>
    <row r="105" spans="1:18" s="3" customFormat="1" ht="18" customHeight="1">
      <c r="A105" s="25"/>
      <c r="B105" s="141"/>
      <c r="C105" s="17"/>
      <c r="D105" s="311"/>
      <c r="E105" s="39" t="s">
        <v>106</v>
      </c>
      <c r="F105" s="27" t="s">
        <v>23</v>
      </c>
      <c r="G105" s="142">
        <v>4</v>
      </c>
      <c r="H105" s="143">
        <v>23000</v>
      </c>
      <c r="I105" s="143">
        <f t="shared" ref="I105:I106" si="13">G105*H105</f>
        <v>92000</v>
      </c>
      <c r="J105" s="614"/>
      <c r="K105" s="187"/>
      <c r="L105" s="607"/>
      <c r="M105" s="607"/>
      <c r="N105" s="132"/>
      <c r="O105" s="187"/>
      <c r="P105" s="599"/>
    </row>
    <row r="106" spans="1:18" s="3" customFormat="1" ht="18" customHeight="1">
      <c r="A106" s="22"/>
      <c r="B106" s="82"/>
      <c r="C106" s="19"/>
      <c r="D106" s="312"/>
      <c r="E106" s="42" t="s">
        <v>42</v>
      </c>
      <c r="F106" s="27" t="s">
        <v>2</v>
      </c>
      <c r="G106" s="230">
        <v>0.4</v>
      </c>
      <c r="H106" s="134">
        <f>H102</f>
        <v>8000</v>
      </c>
      <c r="I106" s="143">
        <f t="shared" si="13"/>
        <v>3200</v>
      </c>
      <c r="J106" s="614"/>
      <c r="K106" s="187"/>
      <c r="L106" s="607"/>
      <c r="M106" s="607"/>
      <c r="N106" s="132"/>
      <c r="O106" s="187"/>
      <c r="P106" s="599"/>
    </row>
    <row r="107" spans="1:18" s="3" customFormat="1" ht="27" customHeight="1">
      <c r="A107" s="32" t="s">
        <v>407</v>
      </c>
      <c r="B107" s="383" t="s">
        <v>408</v>
      </c>
      <c r="C107" s="381" t="s">
        <v>1</v>
      </c>
      <c r="D107" s="406">
        <v>44.9</v>
      </c>
      <c r="E107" s="80"/>
      <c r="F107" s="80"/>
      <c r="G107" s="127"/>
      <c r="H107" s="81"/>
      <c r="I107" s="81"/>
      <c r="J107" s="617"/>
      <c r="K107" s="187"/>
      <c r="L107" s="535"/>
      <c r="M107" s="607"/>
      <c r="N107" s="132"/>
      <c r="O107" s="187"/>
      <c r="P107" s="599"/>
    </row>
    <row r="108" spans="1:18" s="3" customFormat="1" ht="18.75" customHeight="1">
      <c r="A108" s="25"/>
      <c r="B108" s="15"/>
      <c r="C108" s="89"/>
      <c r="D108" s="30"/>
      <c r="E108" s="39" t="s">
        <v>204</v>
      </c>
      <c r="F108" s="27" t="s">
        <v>1</v>
      </c>
      <c r="G108" s="142">
        <f>D107</f>
        <v>44.9</v>
      </c>
      <c r="H108" s="295">
        <f>H100</f>
        <v>22000</v>
      </c>
      <c r="I108" s="143">
        <f>G108*H108</f>
        <v>987800</v>
      </c>
      <c r="J108" s="614"/>
      <c r="K108" s="187"/>
      <c r="L108" s="607"/>
      <c r="M108" s="607"/>
      <c r="N108" s="132"/>
      <c r="O108" s="187"/>
      <c r="P108" s="599"/>
    </row>
    <row r="109" spans="1:18" s="3" customFormat="1" ht="18" customHeight="1">
      <c r="A109" s="25"/>
      <c r="B109" s="141"/>
      <c r="C109" s="17"/>
      <c r="D109" s="311"/>
      <c r="E109" s="39" t="s">
        <v>106</v>
      </c>
      <c r="F109" s="27" t="s">
        <v>23</v>
      </c>
      <c r="G109" s="142">
        <v>10</v>
      </c>
      <c r="H109" s="143">
        <v>26600</v>
      </c>
      <c r="I109" s="143">
        <f t="shared" ref="I109:I110" si="14">G109*H109</f>
        <v>266000</v>
      </c>
      <c r="J109" s="614"/>
      <c r="K109" s="187"/>
      <c r="L109" s="607"/>
      <c r="M109" s="607"/>
      <c r="N109" s="132"/>
      <c r="O109" s="187"/>
      <c r="P109" s="599"/>
    </row>
    <row r="110" spans="1:18" s="3" customFormat="1" ht="18" customHeight="1">
      <c r="A110" s="22"/>
      <c r="B110" s="82"/>
      <c r="C110" s="19"/>
      <c r="D110" s="312"/>
      <c r="E110" s="42" t="s">
        <v>42</v>
      </c>
      <c r="F110" s="27" t="s">
        <v>2</v>
      </c>
      <c r="G110" s="230">
        <v>2</v>
      </c>
      <c r="H110" s="134">
        <f>H20</f>
        <v>8000</v>
      </c>
      <c r="I110" s="143">
        <f t="shared" si="14"/>
        <v>16000</v>
      </c>
      <c r="J110" s="614"/>
      <c r="K110" s="187"/>
      <c r="L110" s="607"/>
      <c r="M110" s="607"/>
      <c r="N110" s="132"/>
      <c r="O110" s="187"/>
      <c r="P110" s="599"/>
    </row>
    <row r="111" spans="1:18" s="3" customFormat="1" ht="29.25" customHeight="1">
      <c r="A111" s="34"/>
      <c r="B111" s="269"/>
      <c r="C111" s="4"/>
      <c r="D111" s="262"/>
      <c r="E111" s="267"/>
      <c r="F111" s="769" t="s">
        <v>283</v>
      </c>
      <c r="G111" s="770"/>
      <c r="H111" s="771"/>
      <c r="I111" s="270">
        <f>SUM(I94:I110)</f>
        <v>12904968</v>
      </c>
      <c r="J111" s="618"/>
      <c r="K111" s="187"/>
      <c r="L111" s="607"/>
      <c r="M111" s="607"/>
      <c r="N111" s="132"/>
      <c r="O111" s="187"/>
      <c r="P111" s="599"/>
    </row>
    <row r="112" spans="1:18" ht="15" customHeight="1">
      <c r="A112" s="772" t="s">
        <v>285</v>
      </c>
      <c r="B112" s="772"/>
      <c r="C112" s="4"/>
      <c r="D112" s="259"/>
      <c r="E112" s="63"/>
      <c r="F112" s="65"/>
      <c r="G112" s="66"/>
      <c r="H112" s="83"/>
      <c r="I112" s="83"/>
      <c r="J112" s="83"/>
    </row>
    <row r="113" spans="1:16" ht="15" customHeight="1">
      <c r="A113" s="34"/>
      <c r="B113" s="5"/>
      <c r="C113" s="4"/>
      <c r="D113" s="259"/>
      <c r="E113" s="63"/>
      <c r="F113" s="65"/>
      <c r="G113" s="66"/>
      <c r="H113" s="83"/>
      <c r="I113" s="83"/>
      <c r="J113" s="83"/>
    </row>
    <row r="114" spans="1:16" s="3" customFormat="1" ht="18" customHeight="1">
      <c r="A114" s="20" t="s">
        <v>30</v>
      </c>
      <c r="B114" s="20" t="s">
        <v>31</v>
      </c>
      <c r="C114" s="20" t="s">
        <v>12</v>
      </c>
      <c r="D114" s="20" t="s">
        <v>32</v>
      </c>
      <c r="E114" s="20" t="s">
        <v>34</v>
      </c>
      <c r="F114" s="20" t="s">
        <v>12</v>
      </c>
      <c r="G114" s="36" t="s">
        <v>32</v>
      </c>
      <c r="H114" s="37" t="s">
        <v>40</v>
      </c>
      <c r="I114" s="37" t="s">
        <v>33</v>
      </c>
      <c r="J114" s="613"/>
      <c r="K114" s="187"/>
      <c r="L114" s="607"/>
      <c r="M114" s="607"/>
      <c r="N114" s="132"/>
      <c r="O114" s="187"/>
      <c r="P114" s="599"/>
    </row>
    <row r="115" spans="1:16" ht="25.5">
      <c r="A115" s="32" t="s">
        <v>11</v>
      </c>
      <c r="B115" s="289" t="s">
        <v>320</v>
      </c>
      <c r="C115" s="78" t="s">
        <v>2</v>
      </c>
      <c r="D115" s="26">
        <v>4.6340000000000003</v>
      </c>
      <c r="E115" s="27" t="s">
        <v>41</v>
      </c>
      <c r="F115" s="27"/>
      <c r="H115" s="40"/>
      <c r="I115" s="40"/>
      <c r="J115" s="83"/>
    </row>
    <row r="116" spans="1:16" s="6" customFormat="1" ht="18" customHeight="1">
      <c r="A116" s="33"/>
      <c r="B116" s="140" t="s">
        <v>136</v>
      </c>
      <c r="C116" s="89"/>
      <c r="D116" s="26"/>
      <c r="E116" s="27"/>
      <c r="F116" s="27"/>
      <c r="H116" s="40"/>
      <c r="I116" s="40"/>
      <c r="J116" s="83"/>
      <c r="L116" s="606"/>
      <c r="M116" s="606"/>
      <c r="N116" s="188"/>
      <c r="P116" s="123"/>
    </row>
    <row r="117" spans="1:16" s="6" customFormat="1" ht="18" customHeight="1">
      <c r="A117" s="33"/>
      <c r="B117" s="111" t="s">
        <v>125</v>
      </c>
      <c r="C117" s="89"/>
      <c r="D117" s="26"/>
      <c r="E117" s="39" t="s">
        <v>349</v>
      </c>
      <c r="F117" s="27" t="s">
        <v>12</v>
      </c>
      <c r="G117" s="6">
        <v>71</v>
      </c>
      <c r="H117" s="40">
        <v>37500</v>
      </c>
      <c r="I117" s="40">
        <f>+G117*H117</f>
        <v>2662500</v>
      </c>
      <c r="J117" s="83"/>
      <c r="L117" s="606"/>
      <c r="M117" s="606"/>
      <c r="N117" s="188"/>
      <c r="P117" s="123"/>
    </row>
    <row r="118" spans="1:16" s="6" customFormat="1" ht="18" customHeight="1">
      <c r="A118" s="33"/>
      <c r="B118" s="111" t="s">
        <v>126</v>
      </c>
      <c r="C118" s="89"/>
      <c r="D118" s="26"/>
      <c r="E118" s="39" t="s">
        <v>318</v>
      </c>
      <c r="F118" s="27" t="s">
        <v>12</v>
      </c>
      <c r="G118" s="6">
        <v>19</v>
      </c>
      <c r="H118" s="40">
        <v>32500</v>
      </c>
      <c r="I118" s="40">
        <f t="shared" ref="I118:I124" si="15">+G118*H118</f>
        <v>617500</v>
      </c>
      <c r="J118" s="83"/>
      <c r="L118" s="606"/>
      <c r="M118" s="606"/>
      <c r="N118" s="188"/>
      <c r="P118" s="123"/>
    </row>
    <row r="119" spans="1:16" s="6" customFormat="1" ht="18" customHeight="1">
      <c r="A119" s="33"/>
      <c r="B119" s="111"/>
      <c r="C119" s="89"/>
      <c r="D119" s="26"/>
      <c r="E119" s="39" t="s">
        <v>79</v>
      </c>
      <c r="F119" s="27" t="s">
        <v>8</v>
      </c>
      <c r="G119" s="6">
        <v>5</v>
      </c>
      <c r="H119" s="40">
        <v>5000</v>
      </c>
      <c r="I119" s="40">
        <f>G119*H119</f>
        <v>25000</v>
      </c>
      <c r="J119" s="83"/>
      <c r="L119" s="606"/>
      <c r="M119" s="606"/>
      <c r="N119" s="188"/>
      <c r="P119" s="123"/>
    </row>
    <row r="120" spans="1:16" s="6" customFormat="1" ht="18" customHeight="1">
      <c r="A120" s="33"/>
      <c r="B120" s="111"/>
      <c r="C120" s="89"/>
      <c r="D120" s="26"/>
      <c r="E120" s="39" t="s">
        <v>50</v>
      </c>
      <c r="F120" s="27" t="s">
        <v>8</v>
      </c>
      <c r="G120" s="6">
        <v>15</v>
      </c>
      <c r="H120" s="40">
        <f>H66</f>
        <v>5000</v>
      </c>
      <c r="I120" s="40">
        <f>G120*H120</f>
        <v>75000</v>
      </c>
      <c r="J120" s="83"/>
      <c r="L120" s="606"/>
      <c r="M120" s="606"/>
      <c r="N120" s="188"/>
      <c r="P120" s="123"/>
    </row>
    <row r="121" spans="1:16" s="6" customFormat="1" ht="18" customHeight="1">
      <c r="A121" s="33"/>
      <c r="B121" s="140" t="s">
        <v>135</v>
      </c>
      <c r="C121" s="89"/>
      <c r="D121" s="26"/>
      <c r="E121" s="39"/>
      <c r="F121" s="27"/>
      <c r="H121" s="40"/>
      <c r="I121" s="40"/>
      <c r="J121" s="83"/>
      <c r="L121" s="606"/>
      <c r="M121" s="606"/>
      <c r="N121" s="188"/>
      <c r="P121" s="123"/>
    </row>
    <row r="122" spans="1:16" s="6" customFormat="1" ht="18" customHeight="1">
      <c r="A122" s="33"/>
      <c r="B122" s="111" t="s">
        <v>317</v>
      </c>
      <c r="C122" s="89"/>
      <c r="D122" s="26"/>
      <c r="E122" s="39" t="s">
        <v>319</v>
      </c>
      <c r="F122" s="27" t="s">
        <v>12</v>
      </c>
      <c r="G122" s="6">
        <v>68</v>
      </c>
      <c r="H122" s="40">
        <v>40000</v>
      </c>
      <c r="I122" s="40">
        <f>G122*H122</f>
        <v>2720000</v>
      </c>
      <c r="J122" s="83"/>
      <c r="L122" s="606"/>
      <c r="M122" s="606"/>
      <c r="N122" s="188"/>
      <c r="P122" s="123"/>
    </row>
    <row r="123" spans="1:16" s="6" customFormat="1" ht="18" customHeight="1">
      <c r="A123" s="33"/>
      <c r="B123" s="111" t="s">
        <v>126</v>
      </c>
      <c r="C123" s="89"/>
      <c r="D123" s="26"/>
      <c r="E123" s="39" t="s">
        <v>107</v>
      </c>
      <c r="F123" s="27" t="s">
        <v>12</v>
      </c>
      <c r="G123" s="6">
        <v>32</v>
      </c>
      <c r="H123" s="40">
        <v>7000</v>
      </c>
      <c r="I123" s="40">
        <f t="shared" si="15"/>
        <v>224000</v>
      </c>
      <c r="J123" s="83"/>
      <c r="L123" s="606"/>
      <c r="M123" s="606"/>
      <c r="N123" s="188"/>
      <c r="P123" s="123"/>
    </row>
    <row r="124" spans="1:16" s="6" customFormat="1" ht="18" customHeight="1">
      <c r="A124" s="176"/>
      <c r="B124" s="90"/>
      <c r="C124" s="89"/>
      <c r="D124" s="26"/>
      <c r="E124" s="39" t="s">
        <v>50</v>
      </c>
      <c r="F124" s="27" t="s">
        <v>8</v>
      </c>
      <c r="G124" s="6">
        <v>6</v>
      </c>
      <c r="H124" s="40">
        <f>H66</f>
        <v>5000</v>
      </c>
      <c r="I124" s="40">
        <f t="shared" si="15"/>
        <v>30000</v>
      </c>
      <c r="J124" s="83"/>
      <c r="L124" s="606"/>
      <c r="M124" s="606"/>
      <c r="N124" s="188"/>
      <c r="P124" s="123"/>
    </row>
    <row r="125" spans="1:16" s="6" customFormat="1" ht="25.5">
      <c r="A125" s="33" t="s">
        <v>13</v>
      </c>
      <c r="B125" s="289" t="s">
        <v>365</v>
      </c>
      <c r="C125" s="78" t="s">
        <v>1</v>
      </c>
      <c r="D125" s="121">
        <v>160.36000000000001</v>
      </c>
      <c r="E125" s="71"/>
      <c r="F125" s="21"/>
      <c r="G125" s="73"/>
      <c r="H125" s="38"/>
      <c r="I125" s="38"/>
      <c r="J125" s="83"/>
      <c r="L125" s="606"/>
      <c r="M125" s="606"/>
      <c r="N125" s="188"/>
      <c r="P125" s="123"/>
    </row>
    <row r="126" spans="1:16" s="6" customFormat="1" ht="18.75" customHeight="1">
      <c r="A126" s="33"/>
      <c r="B126" s="90"/>
      <c r="C126" s="89"/>
      <c r="D126" s="26"/>
      <c r="E126" s="55" t="s">
        <v>366</v>
      </c>
      <c r="F126" s="27" t="s">
        <v>12</v>
      </c>
      <c r="G126" s="318">
        <v>500</v>
      </c>
      <c r="H126" s="40">
        <v>500</v>
      </c>
      <c r="I126" s="40">
        <f>G126*H126</f>
        <v>250000</v>
      </c>
      <c r="J126" s="83"/>
      <c r="L126" s="606"/>
      <c r="M126" s="606"/>
      <c r="N126" s="188"/>
      <c r="P126" s="123"/>
    </row>
    <row r="127" spans="1:16" s="6" customFormat="1" ht="18.75" customHeight="1">
      <c r="A127" s="33"/>
      <c r="B127" s="90"/>
      <c r="C127" s="89"/>
      <c r="D127" s="26"/>
      <c r="E127" s="55" t="s">
        <v>371</v>
      </c>
      <c r="F127" s="27" t="s">
        <v>12</v>
      </c>
      <c r="G127" s="318">
        <v>100</v>
      </c>
      <c r="H127" s="40">
        <v>400</v>
      </c>
      <c r="I127" s="40">
        <f>G127*H127</f>
        <v>40000</v>
      </c>
      <c r="J127" s="83"/>
      <c r="L127" s="606"/>
      <c r="M127" s="606"/>
      <c r="N127" s="188"/>
      <c r="P127" s="123"/>
    </row>
    <row r="128" spans="1:16" s="6" customFormat="1" ht="18.75" customHeight="1">
      <c r="A128" s="33"/>
      <c r="B128" s="90"/>
      <c r="C128" s="89"/>
      <c r="D128" s="26"/>
      <c r="E128" s="39" t="s">
        <v>53</v>
      </c>
      <c r="F128" s="27" t="s">
        <v>8</v>
      </c>
      <c r="G128" s="87">
        <v>15</v>
      </c>
      <c r="H128" s="40">
        <v>6000</v>
      </c>
      <c r="I128" s="40">
        <f t="shared" ref="I128:I129" si="16">G128*H128</f>
        <v>90000</v>
      </c>
      <c r="J128" s="83"/>
      <c r="L128" s="606"/>
      <c r="M128" s="606"/>
      <c r="N128" s="188"/>
      <c r="P128" s="123"/>
    </row>
    <row r="129" spans="1:16" s="6" customFormat="1" ht="17.25" customHeight="1">
      <c r="A129" s="176"/>
      <c r="B129" s="90"/>
      <c r="C129" s="89"/>
      <c r="D129" s="26"/>
      <c r="E129" s="39" t="s">
        <v>367</v>
      </c>
      <c r="F129" s="27" t="s">
        <v>8</v>
      </c>
      <c r="G129" s="318">
        <v>60</v>
      </c>
      <c r="H129" s="40">
        <v>15000</v>
      </c>
      <c r="I129" s="40">
        <f t="shared" si="16"/>
        <v>900000</v>
      </c>
      <c r="J129" s="83"/>
      <c r="L129" s="606"/>
      <c r="M129" s="606"/>
      <c r="N129" s="188"/>
      <c r="P129" s="123"/>
    </row>
    <row r="130" spans="1:16" s="6" customFormat="1" ht="25.5">
      <c r="A130" s="33" t="s">
        <v>81</v>
      </c>
      <c r="B130" s="289" t="s">
        <v>231</v>
      </c>
      <c r="C130" s="78" t="s">
        <v>10</v>
      </c>
      <c r="D130" s="121">
        <v>18.28</v>
      </c>
      <c r="E130" s="71"/>
      <c r="F130" s="21"/>
      <c r="G130" s="73"/>
      <c r="H130" s="38"/>
      <c r="I130" s="38"/>
      <c r="J130" s="83"/>
      <c r="L130" s="606"/>
      <c r="M130" s="606"/>
      <c r="N130" s="188"/>
      <c r="P130" s="123"/>
    </row>
    <row r="131" spans="1:16" s="6" customFormat="1" ht="18" customHeight="1">
      <c r="A131" s="581"/>
      <c r="B131" s="582"/>
      <c r="C131" s="19"/>
      <c r="D131" s="29"/>
      <c r="E131" s="42" t="s">
        <v>80</v>
      </c>
      <c r="F131" s="23" t="s">
        <v>12</v>
      </c>
      <c r="G131" s="43">
        <v>11</v>
      </c>
      <c r="H131" s="44">
        <v>10000</v>
      </c>
      <c r="I131" s="44">
        <f>G131*H131</f>
        <v>110000</v>
      </c>
      <c r="J131" s="83"/>
      <c r="L131" s="606"/>
      <c r="M131" s="606"/>
      <c r="N131" s="188"/>
      <c r="P131" s="123"/>
    </row>
    <row r="132" spans="1:16" s="6" customFormat="1" ht="18" customHeight="1">
      <c r="A132" s="583"/>
      <c r="B132" s="584"/>
      <c r="C132" s="571"/>
      <c r="D132" s="576"/>
      <c r="E132" s="573"/>
      <c r="F132" s="574"/>
      <c r="G132" s="43"/>
      <c r="H132" s="575"/>
      <c r="I132" s="575"/>
      <c r="J132" s="83"/>
      <c r="L132" s="606"/>
      <c r="M132" s="606"/>
      <c r="N132" s="188"/>
      <c r="P132" s="123"/>
    </row>
    <row r="133" spans="1:16" ht="18" customHeight="1">
      <c r="A133" s="22"/>
      <c r="B133" s="15"/>
      <c r="C133" s="17"/>
      <c r="D133" s="28"/>
      <c r="E133" s="39" t="s">
        <v>53</v>
      </c>
      <c r="F133" s="27" t="s">
        <v>8</v>
      </c>
      <c r="G133" s="97">
        <v>1</v>
      </c>
      <c r="H133" s="40">
        <f>H129</f>
        <v>15000</v>
      </c>
      <c r="I133" s="40">
        <f>G133*H133</f>
        <v>15000</v>
      </c>
      <c r="J133" s="83"/>
    </row>
    <row r="134" spans="1:16" ht="26.25" customHeight="1">
      <c r="A134" s="33" t="s">
        <v>69</v>
      </c>
      <c r="B134" s="289" t="s">
        <v>233</v>
      </c>
      <c r="C134" s="78" t="s">
        <v>1</v>
      </c>
      <c r="D134" s="121">
        <v>136.69</v>
      </c>
      <c r="E134" s="71"/>
      <c r="F134" s="21"/>
      <c r="G134" s="64"/>
      <c r="H134" s="38"/>
      <c r="I134" s="38"/>
      <c r="J134" s="83"/>
    </row>
    <row r="135" spans="1:16" ht="18" customHeight="1">
      <c r="A135" s="25"/>
      <c r="B135" s="88"/>
      <c r="C135" s="89"/>
      <c r="D135" s="28"/>
      <c r="E135" s="39" t="s">
        <v>112</v>
      </c>
      <c r="F135" s="27" t="s">
        <v>98</v>
      </c>
      <c r="G135" s="66">
        <v>40</v>
      </c>
      <c r="H135" s="40">
        <v>50000</v>
      </c>
      <c r="I135" s="40">
        <f>G135*H135</f>
        <v>2000000</v>
      </c>
      <c r="J135" s="83"/>
    </row>
    <row r="136" spans="1:16" ht="18" customHeight="1">
      <c r="A136" s="22"/>
      <c r="B136" s="90"/>
      <c r="C136" s="89"/>
      <c r="D136" s="28"/>
      <c r="E136" s="39" t="s">
        <v>78</v>
      </c>
      <c r="F136" s="27" t="s">
        <v>8</v>
      </c>
      <c r="G136" s="87">
        <v>6</v>
      </c>
      <c r="H136" s="40">
        <f>H65</f>
        <v>5000</v>
      </c>
      <c r="I136" s="40">
        <f t="shared" ref="I136" si="17">G136*H136</f>
        <v>30000</v>
      </c>
      <c r="J136" s="83"/>
    </row>
    <row r="137" spans="1:16" ht="18" customHeight="1">
      <c r="A137" s="310" t="s">
        <v>70</v>
      </c>
      <c r="B137" s="290" t="s">
        <v>232</v>
      </c>
      <c r="C137" s="78" t="s">
        <v>10</v>
      </c>
      <c r="D137" s="121">
        <v>175.84</v>
      </c>
      <c r="E137" s="71"/>
      <c r="F137" s="21"/>
      <c r="G137" s="73"/>
      <c r="H137" s="38"/>
      <c r="I137" s="38"/>
      <c r="J137" s="83"/>
    </row>
    <row r="138" spans="1:16" ht="18" customHeight="1">
      <c r="A138" s="25"/>
      <c r="B138" s="5"/>
      <c r="C138" s="89"/>
      <c r="D138" s="28"/>
      <c r="E138" s="39" t="s">
        <v>113</v>
      </c>
      <c r="F138" s="27" t="s">
        <v>97</v>
      </c>
      <c r="G138" s="87">
        <v>10</v>
      </c>
      <c r="H138" s="40">
        <v>15000</v>
      </c>
      <c r="I138" s="40">
        <f>G138*H138</f>
        <v>150000</v>
      </c>
      <c r="J138" s="83"/>
    </row>
    <row r="139" spans="1:16" ht="18" customHeight="1">
      <c r="A139" s="22"/>
      <c r="B139" s="92"/>
      <c r="C139" s="93"/>
      <c r="D139" s="29"/>
      <c r="E139" s="42" t="s">
        <v>77</v>
      </c>
      <c r="F139" s="23" t="s">
        <v>8</v>
      </c>
      <c r="G139" s="76">
        <v>1</v>
      </c>
      <c r="H139" s="44">
        <f>H65</f>
        <v>5000</v>
      </c>
      <c r="I139" s="40">
        <f>G139*H139</f>
        <v>5000</v>
      </c>
      <c r="J139" s="83"/>
    </row>
    <row r="140" spans="1:16" ht="18" customHeight="1">
      <c r="A140" s="310" t="s">
        <v>171</v>
      </c>
      <c r="B140" s="313" t="s">
        <v>76</v>
      </c>
      <c r="C140" s="94" t="s">
        <v>10</v>
      </c>
      <c r="D140" s="121">
        <v>36</v>
      </c>
      <c r="E140" s="71"/>
      <c r="F140" s="21"/>
      <c r="G140" s="73"/>
      <c r="H140" s="38"/>
      <c r="I140" s="38"/>
      <c r="J140" s="83"/>
    </row>
    <row r="141" spans="1:16" ht="18" customHeight="1">
      <c r="A141" s="25"/>
      <c r="B141" s="95"/>
      <c r="C141" s="96"/>
      <c r="D141" s="28"/>
      <c r="E141" s="39" t="s">
        <v>280</v>
      </c>
      <c r="F141" s="27" t="s">
        <v>12</v>
      </c>
      <c r="G141" s="87">
        <v>6</v>
      </c>
      <c r="H141" s="40">
        <v>15000</v>
      </c>
      <c r="I141" s="40">
        <f>G141*H141</f>
        <v>90000</v>
      </c>
      <c r="J141" s="83"/>
    </row>
    <row r="142" spans="1:16" ht="18" customHeight="1">
      <c r="A142" s="25"/>
      <c r="B142" s="95"/>
      <c r="C142" s="96"/>
      <c r="D142" s="28"/>
      <c r="E142" s="39" t="s">
        <v>139</v>
      </c>
      <c r="F142" s="27" t="s">
        <v>12</v>
      </c>
      <c r="G142" s="87">
        <v>6</v>
      </c>
      <c r="H142" s="40">
        <v>35000</v>
      </c>
      <c r="I142" s="40">
        <f>G142*H142</f>
        <v>210000</v>
      </c>
      <c r="J142" s="83"/>
    </row>
    <row r="143" spans="1:16" ht="18" customHeight="1">
      <c r="A143" s="25"/>
      <c r="B143" s="95"/>
      <c r="C143" s="96"/>
      <c r="D143" s="28"/>
      <c r="E143" s="39" t="s">
        <v>108</v>
      </c>
      <c r="F143" s="27" t="s">
        <v>12</v>
      </c>
      <c r="G143" s="87">
        <v>18</v>
      </c>
      <c r="H143" s="40">
        <v>4500</v>
      </c>
      <c r="I143" s="40">
        <f>G143*H143</f>
        <v>81000</v>
      </c>
      <c r="J143" s="83"/>
    </row>
    <row r="144" spans="1:16" ht="18" customHeight="1">
      <c r="A144" s="25"/>
      <c r="B144" s="95"/>
      <c r="C144" s="96"/>
      <c r="D144" s="28"/>
      <c r="E144" s="39" t="s">
        <v>109</v>
      </c>
      <c r="F144" s="27" t="s">
        <v>110</v>
      </c>
      <c r="G144" s="87">
        <v>3</v>
      </c>
      <c r="H144" s="40">
        <v>8000</v>
      </c>
      <c r="I144" s="40">
        <f t="shared" ref="I144:I145" si="18">G144*H144</f>
        <v>24000</v>
      </c>
      <c r="J144" s="83"/>
    </row>
    <row r="145" spans="1:16" ht="18" customHeight="1">
      <c r="A145" s="22"/>
      <c r="B145" s="18"/>
      <c r="C145" s="19"/>
      <c r="D145" s="29"/>
      <c r="E145" s="42" t="s">
        <v>100</v>
      </c>
      <c r="F145" s="23" t="s">
        <v>12</v>
      </c>
      <c r="G145" s="76">
        <v>40</v>
      </c>
      <c r="H145" s="44">
        <v>1000</v>
      </c>
      <c r="I145" s="40">
        <f t="shared" si="18"/>
        <v>40000</v>
      </c>
      <c r="J145" s="83"/>
    </row>
    <row r="146" spans="1:16" ht="29.25" customHeight="1">
      <c r="A146" s="34"/>
      <c r="B146" s="5"/>
      <c r="C146" s="4"/>
      <c r="D146" s="48"/>
      <c r="E146" s="267"/>
      <c r="F146" s="769" t="s">
        <v>281</v>
      </c>
      <c r="G146" s="770"/>
      <c r="H146" s="771"/>
      <c r="I146" s="271">
        <f>SUM(I115:I145)</f>
        <v>10389000</v>
      </c>
      <c r="J146" s="616"/>
    </row>
    <row r="147" spans="1:16" ht="15" customHeight="1">
      <c r="A147" s="772" t="s">
        <v>242</v>
      </c>
      <c r="B147" s="772"/>
      <c r="C147" s="4"/>
      <c r="D147" s="259"/>
      <c r="E147" s="772"/>
      <c r="F147" s="772"/>
      <c r="G147" s="66"/>
      <c r="H147" s="83"/>
      <c r="I147" s="83"/>
      <c r="J147" s="83"/>
    </row>
    <row r="148" spans="1:16" ht="15" customHeight="1">
      <c r="A148" s="340"/>
      <c r="B148" s="340"/>
      <c r="C148" s="4"/>
      <c r="D148" s="259"/>
      <c r="E148" s="63"/>
      <c r="F148" s="65"/>
      <c r="G148" s="66"/>
      <c r="H148" s="83"/>
      <c r="I148" s="83"/>
      <c r="J148" s="83"/>
    </row>
    <row r="149" spans="1:16" s="3" customFormat="1" ht="18" customHeight="1">
      <c r="A149" s="20" t="s">
        <v>30</v>
      </c>
      <c r="B149" s="20" t="s">
        <v>31</v>
      </c>
      <c r="C149" s="20" t="s">
        <v>12</v>
      </c>
      <c r="D149" s="20" t="s">
        <v>32</v>
      </c>
      <c r="E149" s="20" t="s">
        <v>34</v>
      </c>
      <c r="F149" s="20" t="s">
        <v>12</v>
      </c>
      <c r="G149" s="36" t="s">
        <v>32</v>
      </c>
      <c r="H149" s="37" t="s">
        <v>40</v>
      </c>
      <c r="I149" s="37" t="s">
        <v>33</v>
      </c>
      <c r="J149" s="613"/>
      <c r="K149" s="187"/>
      <c r="L149" s="607"/>
      <c r="M149" s="607"/>
      <c r="N149" s="132"/>
      <c r="O149" s="187"/>
      <c r="P149" s="599"/>
    </row>
    <row r="150" spans="1:16" s="113" customFormat="1" ht="27" customHeight="1">
      <c r="A150" s="72" t="s">
        <v>14</v>
      </c>
      <c r="B150" s="289" t="s">
        <v>350</v>
      </c>
      <c r="C150" s="78" t="s">
        <v>12</v>
      </c>
      <c r="D150" s="100">
        <v>1</v>
      </c>
      <c r="E150" s="98"/>
      <c r="F150" s="100"/>
      <c r="G150" s="99"/>
      <c r="H150" s="69">
        <v>240000</v>
      </c>
      <c r="I150" s="147">
        <f>D150*H150</f>
        <v>240000</v>
      </c>
      <c r="J150" s="619"/>
      <c r="K150" s="114"/>
      <c r="L150" s="611"/>
      <c r="M150" s="611"/>
      <c r="N150" s="116"/>
      <c r="O150" s="114"/>
      <c r="P150" s="601"/>
    </row>
    <row r="151" spans="1:16" s="113" customFormat="1" ht="27" customHeight="1">
      <c r="A151" s="72" t="s">
        <v>15</v>
      </c>
      <c r="B151" s="289" t="s">
        <v>351</v>
      </c>
      <c r="C151" s="78" t="s">
        <v>12</v>
      </c>
      <c r="D151" s="100">
        <v>2</v>
      </c>
      <c r="E151" s="98"/>
      <c r="F151" s="100"/>
      <c r="G151" s="99"/>
      <c r="H151" s="69">
        <v>155000</v>
      </c>
      <c r="I151" s="147">
        <f t="shared" ref="I151:I159" si="19">D151*H151</f>
        <v>310000</v>
      </c>
      <c r="J151" s="619"/>
      <c r="K151" s="114"/>
      <c r="L151" s="611"/>
      <c r="M151" s="611"/>
      <c r="N151" s="116"/>
      <c r="O151" s="114"/>
      <c r="P151" s="601"/>
    </row>
    <row r="152" spans="1:16" s="113" customFormat="1" ht="27" customHeight="1">
      <c r="A152" s="72" t="s">
        <v>20</v>
      </c>
      <c r="B152" s="289" t="s">
        <v>352</v>
      </c>
      <c r="C152" s="78" t="s">
        <v>12</v>
      </c>
      <c r="D152" s="100">
        <v>17</v>
      </c>
      <c r="E152" s="98"/>
      <c r="F152" s="100"/>
      <c r="G152" s="99"/>
      <c r="H152" s="69">
        <v>145000</v>
      </c>
      <c r="I152" s="147">
        <f t="shared" si="19"/>
        <v>2465000</v>
      </c>
      <c r="J152" s="619"/>
      <c r="K152" s="114"/>
      <c r="L152" s="611"/>
      <c r="M152" s="611"/>
      <c r="N152" s="116"/>
      <c r="O152" s="114"/>
      <c r="P152" s="601"/>
    </row>
    <row r="153" spans="1:16" s="113" customFormat="1" ht="27" customHeight="1">
      <c r="A153" s="72" t="s">
        <v>71</v>
      </c>
      <c r="B153" s="289" t="s">
        <v>353</v>
      </c>
      <c r="C153" s="78" t="s">
        <v>12</v>
      </c>
      <c r="D153" s="100">
        <v>2</v>
      </c>
      <c r="E153" s="98"/>
      <c r="F153" s="100"/>
      <c r="G153" s="99"/>
      <c r="H153" s="69">
        <v>125000</v>
      </c>
      <c r="I153" s="147">
        <f t="shared" si="19"/>
        <v>250000</v>
      </c>
      <c r="J153" s="619"/>
      <c r="K153" s="114"/>
      <c r="L153" s="611"/>
      <c r="M153" s="611"/>
      <c r="N153" s="116"/>
      <c r="O153" s="114"/>
      <c r="P153" s="601"/>
    </row>
    <row r="154" spans="1:16" s="113" customFormat="1" ht="27" customHeight="1">
      <c r="A154" s="72" t="s">
        <v>72</v>
      </c>
      <c r="B154" s="289" t="s">
        <v>354</v>
      </c>
      <c r="C154" s="78" t="s">
        <v>12</v>
      </c>
      <c r="D154" s="100">
        <v>6</v>
      </c>
      <c r="E154" s="98"/>
      <c r="F154" s="100"/>
      <c r="G154" s="99"/>
      <c r="H154" s="69">
        <v>115000</v>
      </c>
      <c r="I154" s="147">
        <f t="shared" si="19"/>
        <v>690000</v>
      </c>
      <c r="J154" s="619"/>
      <c r="K154" s="114"/>
      <c r="L154" s="611"/>
      <c r="M154" s="611"/>
      <c r="N154" s="116"/>
      <c r="O154" s="114"/>
      <c r="P154" s="601"/>
    </row>
    <row r="155" spans="1:16" s="113" customFormat="1" ht="27" customHeight="1">
      <c r="A155" s="72" t="s">
        <v>91</v>
      </c>
      <c r="B155" s="289" t="s">
        <v>355</v>
      </c>
      <c r="C155" s="78" t="s">
        <v>12</v>
      </c>
      <c r="D155" s="100">
        <v>23</v>
      </c>
      <c r="E155" s="98"/>
      <c r="F155" s="100"/>
      <c r="G155" s="99"/>
      <c r="H155" s="69">
        <v>100000</v>
      </c>
      <c r="I155" s="147">
        <f t="shared" si="19"/>
        <v>2300000</v>
      </c>
      <c r="J155" s="619"/>
      <c r="K155" s="114"/>
      <c r="L155" s="611"/>
      <c r="M155" s="611"/>
      <c r="N155" s="116"/>
      <c r="O155" s="114"/>
      <c r="P155" s="601"/>
    </row>
    <row r="156" spans="1:16" s="113" customFormat="1" ht="27" customHeight="1">
      <c r="A156" s="72" t="s">
        <v>243</v>
      </c>
      <c r="B156" s="289" t="s">
        <v>356</v>
      </c>
      <c r="C156" s="78" t="s">
        <v>12</v>
      </c>
      <c r="D156" s="100">
        <v>3</v>
      </c>
      <c r="E156" s="98"/>
      <c r="F156" s="100"/>
      <c r="G156" s="99"/>
      <c r="H156" s="69">
        <v>90000</v>
      </c>
      <c r="I156" s="147">
        <f t="shared" si="19"/>
        <v>270000</v>
      </c>
      <c r="J156" s="619"/>
      <c r="K156" s="114"/>
      <c r="L156" s="611"/>
      <c r="M156" s="611"/>
      <c r="N156" s="116"/>
      <c r="O156" s="114"/>
      <c r="P156" s="601"/>
    </row>
    <row r="157" spans="1:16" s="113" customFormat="1" ht="27" customHeight="1">
      <c r="A157" s="72" t="s">
        <v>244</v>
      </c>
      <c r="B157" s="289" t="s">
        <v>357</v>
      </c>
      <c r="C157" s="78" t="s">
        <v>12</v>
      </c>
      <c r="D157" s="100">
        <v>2</v>
      </c>
      <c r="E157" s="98"/>
      <c r="F157" s="100"/>
      <c r="G157" s="99"/>
      <c r="H157" s="69">
        <v>50000</v>
      </c>
      <c r="I157" s="147">
        <f t="shared" si="19"/>
        <v>100000</v>
      </c>
      <c r="J157" s="619"/>
      <c r="K157" s="114"/>
      <c r="L157" s="611"/>
      <c r="M157" s="611"/>
      <c r="N157" s="116"/>
      <c r="O157" s="114"/>
      <c r="P157" s="601"/>
    </row>
    <row r="158" spans="1:16" s="113" customFormat="1" ht="27" customHeight="1">
      <c r="A158" s="72" t="s">
        <v>305</v>
      </c>
      <c r="B158" s="289" t="s">
        <v>358</v>
      </c>
      <c r="C158" s="78" t="s">
        <v>12</v>
      </c>
      <c r="D158" s="100">
        <v>2</v>
      </c>
      <c r="E158" s="98"/>
      <c r="F158" s="100"/>
      <c r="G158" s="99"/>
      <c r="H158" s="69">
        <v>30000</v>
      </c>
      <c r="I158" s="147">
        <f t="shared" si="19"/>
        <v>60000</v>
      </c>
      <c r="J158" s="619"/>
      <c r="K158" s="114"/>
      <c r="L158" s="611"/>
      <c r="M158" s="611"/>
      <c r="N158" s="116"/>
      <c r="O158" s="114"/>
      <c r="P158" s="601"/>
    </row>
    <row r="159" spans="1:16" s="113" customFormat="1" ht="27" customHeight="1">
      <c r="A159" s="70" t="s">
        <v>309</v>
      </c>
      <c r="B159" s="284" t="s">
        <v>359</v>
      </c>
      <c r="C159" s="84" t="s">
        <v>12</v>
      </c>
      <c r="D159" s="100">
        <v>2</v>
      </c>
      <c r="E159" s="98"/>
      <c r="F159" s="100"/>
      <c r="G159" s="99"/>
      <c r="H159" s="69">
        <v>15000</v>
      </c>
      <c r="I159" s="147">
        <f t="shared" si="19"/>
        <v>30000</v>
      </c>
      <c r="J159" s="619"/>
      <c r="K159" s="114"/>
      <c r="L159" s="611"/>
      <c r="M159" s="611"/>
      <c r="N159" s="116"/>
      <c r="O159" s="114"/>
      <c r="P159" s="601"/>
    </row>
    <row r="160" spans="1:16" s="113" customFormat="1" ht="30" customHeight="1">
      <c r="A160" s="272"/>
      <c r="B160" s="88"/>
      <c r="C160" s="273"/>
      <c r="D160" s="276"/>
      <c r="E160" s="274"/>
      <c r="F160" s="769" t="s">
        <v>104</v>
      </c>
      <c r="G160" s="770"/>
      <c r="H160" s="771"/>
      <c r="I160" s="275">
        <f>SUM(I150:I159)</f>
        <v>6715000</v>
      </c>
      <c r="J160" s="620"/>
      <c r="K160" s="114"/>
      <c r="L160" s="611"/>
      <c r="M160" s="611"/>
      <c r="N160" s="116"/>
      <c r="O160" s="114"/>
      <c r="P160" s="601"/>
    </row>
    <row r="161" spans="1:16" ht="18" customHeight="1">
      <c r="A161" s="772" t="s">
        <v>245</v>
      </c>
      <c r="B161" s="772"/>
      <c r="C161" s="4"/>
      <c r="D161" s="259"/>
      <c r="E161" s="772"/>
      <c r="F161" s="772"/>
      <c r="G161" s="66"/>
      <c r="H161" s="83"/>
      <c r="I161" s="83"/>
      <c r="J161" s="83"/>
    </row>
    <row r="162" spans="1:16" ht="18" customHeight="1">
      <c r="A162" s="340"/>
      <c r="B162" s="340"/>
      <c r="C162" s="4"/>
      <c r="D162" s="259"/>
      <c r="E162" s="63"/>
      <c r="F162" s="65"/>
      <c r="G162" s="66"/>
      <c r="H162" s="83"/>
      <c r="I162" s="83"/>
      <c r="J162" s="83"/>
    </row>
    <row r="163" spans="1:16" s="3" customFormat="1" ht="18" customHeight="1">
      <c r="A163" s="20" t="s">
        <v>30</v>
      </c>
      <c r="B163" s="20" t="s">
        <v>31</v>
      </c>
      <c r="C163" s="20" t="s">
        <v>12</v>
      </c>
      <c r="D163" s="20" t="s">
        <v>32</v>
      </c>
      <c r="E163" s="20" t="s">
        <v>34</v>
      </c>
      <c r="F163" s="20" t="s">
        <v>12</v>
      </c>
      <c r="G163" s="36" t="s">
        <v>32</v>
      </c>
      <c r="H163" s="37" t="s">
        <v>40</v>
      </c>
      <c r="I163" s="37" t="s">
        <v>33</v>
      </c>
      <c r="J163" s="613"/>
      <c r="K163" s="187"/>
      <c r="L163" s="607"/>
      <c r="M163" s="607"/>
      <c r="N163" s="132"/>
      <c r="O163" s="187"/>
      <c r="P163" s="599"/>
    </row>
    <row r="164" spans="1:16" s="113" customFormat="1" ht="27" customHeight="1">
      <c r="A164" s="72" t="s">
        <v>21</v>
      </c>
      <c r="B164" s="289" t="s">
        <v>236</v>
      </c>
      <c r="C164" s="78" t="s">
        <v>1</v>
      </c>
      <c r="D164" s="100">
        <v>22.88</v>
      </c>
      <c r="E164" s="98"/>
      <c r="F164" s="100"/>
      <c r="G164" s="99"/>
      <c r="H164" s="69">
        <v>85000</v>
      </c>
      <c r="I164" s="147">
        <f>D164*H164</f>
        <v>1944800</v>
      </c>
      <c r="J164" s="619"/>
      <c r="K164" s="114"/>
      <c r="L164" s="611"/>
      <c r="M164" s="611"/>
      <c r="N164" s="116"/>
      <c r="O164" s="114"/>
      <c r="P164" s="601"/>
    </row>
    <row r="165" spans="1:16" s="113" customFormat="1" ht="27" customHeight="1">
      <c r="A165" s="72" t="s">
        <v>22</v>
      </c>
      <c r="B165" s="289" t="s">
        <v>237</v>
      </c>
      <c r="C165" s="78" t="s">
        <v>1</v>
      </c>
      <c r="D165" s="100">
        <v>42.2</v>
      </c>
      <c r="E165" s="98"/>
      <c r="F165" s="100"/>
      <c r="G165" s="99"/>
      <c r="H165" s="69">
        <v>85000</v>
      </c>
      <c r="I165" s="147">
        <f t="shared" ref="I165:I169" si="20">D165*H165</f>
        <v>3587000.0000000005</v>
      </c>
      <c r="J165" s="619"/>
      <c r="K165" s="114"/>
      <c r="L165" s="611"/>
      <c r="M165" s="611"/>
      <c r="N165" s="116"/>
      <c r="O165" s="114"/>
      <c r="P165" s="601"/>
    </row>
    <row r="166" spans="1:16" s="113" customFormat="1" ht="27" customHeight="1">
      <c r="A166" s="72" t="s">
        <v>363</v>
      </c>
      <c r="B166" s="289" t="s">
        <v>307</v>
      </c>
      <c r="C166" s="78" t="s">
        <v>1</v>
      </c>
      <c r="D166" s="100">
        <v>3.08</v>
      </c>
      <c r="E166" s="98"/>
      <c r="F166" s="100"/>
      <c r="G166" s="99"/>
      <c r="H166" s="69">
        <v>85000</v>
      </c>
      <c r="I166" s="147">
        <f t="shared" si="20"/>
        <v>261800</v>
      </c>
      <c r="J166" s="619"/>
      <c r="K166" s="114"/>
      <c r="L166" s="611"/>
      <c r="M166" s="611"/>
      <c r="N166" s="116"/>
      <c r="O166" s="114"/>
      <c r="P166" s="601"/>
    </row>
    <row r="167" spans="1:16" s="113" customFormat="1" ht="27" customHeight="1">
      <c r="A167" s="72" t="s">
        <v>205</v>
      </c>
      <c r="B167" s="289" t="s">
        <v>238</v>
      </c>
      <c r="C167" s="78" t="s">
        <v>1</v>
      </c>
      <c r="D167" s="100">
        <v>2.42</v>
      </c>
      <c r="E167" s="98"/>
      <c r="F167" s="100"/>
      <c r="G167" s="99"/>
      <c r="H167" s="69">
        <v>85000</v>
      </c>
      <c r="I167" s="147">
        <f t="shared" si="20"/>
        <v>205700</v>
      </c>
      <c r="J167" s="619"/>
      <c r="K167" s="114"/>
      <c r="L167" s="611"/>
      <c r="M167" s="611"/>
      <c r="N167" s="116"/>
      <c r="O167" s="114"/>
      <c r="P167" s="601"/>
    </row>
    <row r="168" spans="1:16" s="113" customFormat="1" ht="27" customHeight="1">
      <c r="A168" s="72" t="s">
        <v>206</v>
      </c>
      <c r="B168" s="289" t="s">
        <v>239</v>
      </c>
      <c r="C168" s="78" t="s">
        <v>1</v>
      </c>
      <c r="D168" s="100">
        <v>1.43</v>
      </c>
      <c r="E168" s="98"/>
      <c r="F168" s="100"/>
      <c r="G168" s="99"/>
      <c r="H168" s="69">
        <v>85000</v>
      </c>
      <c r="I168" s="147">
        <f t="shared" si="20"/>
        <v>121550</v>
      </c>
      <c r="J168" s="619"/>
      <c r="K168" s="114"/>
      <c r="L168" s="611"/>
      <c r="M168" s="611"/>
      <c r="N168" s="116"/>
      <c r="O168" s="114"/>
      <c r="P168" s="601"/>
    </row>
    <row r="169" spans="1:16" s="113" customFormat="1" ht="27" customHeight="1">
      <c r="A169" s="70" t="s">
        <v>306</v>
      </c>
      <c r="B169" s="284" t="s">
        <v>240</v>
      </c>
      <c r="C169" s="84" t="s">
        <v>1</v>
      </c>
      <c r="D169" s="100">
        <v>3.69</v>
      </c>
      <c r="E169" s="98"/>
      <c r="F169" s="100"/>
      <c r="G169" s="99"/>
      <c r="H169" s="69">
        <v>85000</v>
      </c>
      <c r="I169" s="147">
        <f t="shared" si="20"/>
        <v>313650</v>
      </c>
      <c r="J169" s="619"/>
      <c r="K169" s="114"/>
      <c r="L169" s="611"/>
      <c r="M169" s="611"/>
      <c r="N169" s="116"/>
      <c r="O169" s="114"/>
      <c r="P169" s="601"/>
    </row>
    <row r="170" spans="1:16" s="113" customFormat="1" ht="30" customHeight="1">
      <c r="A170" s="272"/>
      <c r="B170" s="88"/>
      <c r="C170" s="273"/>
      <c r="D170" s="276"/>
      <c r="E170" s="274"/>
      <c r="F170" s="769" t="s">
        <v>282</v>
      </c>
      <c r="G170" s="770"/>
      <c r="H170" s="771"/>
      <c r="I170" s="275">
        <f>SUM(I164:I169)</f>
        <v>6434500</v>
      </c>
      <c r="J170" s="620"/>
      <c r="K170" s="114"/>
      <c r="L170" s="611"/>
      <c r="M170" s="611"/>
      <c r="N170" s="116"/>
      <c r="O170" s="114"/>
      <c r="P170" s="601"/>
    </row>
    <row r="171" spans="1:16" ht="18" customHeight="1">
      <c r="A171" s="772" t="s">
        <v>248</v>
      </c>
      <c r="B171" s="772"/>
      <c r="C171" s="4"/>
      <c r="D171" s="259"/>
      <c r="E171" s="83"/>
      <c r="F171" s="83"/>
      <c r="G171" s="208"/>
      <c r="H171" s="83"/>
      <c r="I171" s="209"/>
      <c r="J171" s="209"/>
    </row>
    <row r="172" spans="1:16" ht="18" customHeight="1">
      <c r="A172" s="34"/>
      <c r="B172" s="5"/>
      <c r="C172" s="4"/>
      <c r="D172" s="48"/>
      <c r="E172" s="49"/>
      <c r="F172" s="206"/>
      <c r="G172" s="206"/>
      <c r="H172" s="206"/>
      <c r="I172" s="207"/>
      <c r="J172" s="61"/>
    </row>
    <row r="173" spans="1:16" s="3" customFormat="1" ht="18" customHeight="1">
      <c r="A173" s="20" t="s">
        <v>30</v>
      </c>
      <c r="B173" s="20" t="s">
        <v>31</v>
      </c>
      <c r="C173" s="20" t="s">
        <v>12</v>
      </c>
      <c r="D173" s="20" t="s">
        <v>32</v>
      </c>
      <c r="E173" s="20" t="s">
        <v>34</v>
      </c>
      <c r="F173" s="20" t="s">
        <v>12</v>
      </c>
      <c r="G173" s="36" t="s">
        <v>32</v>
      </c>
      <c r="H173" s="37" t="s">
        <v>40</v>
      </c>
      <c r="I173" s="37" t="s">
        <v>33</v>
      </c>
      <c r="J173" s="613"/>
      <c r="K173" s="187"/>
      <c r="L173" s="607"/>
      <c r="M173" s="607"/>
      <c r="N173" s="132"/>
      <c r="O173" s="187"/>
      <c r="P173" s="599"/>
    </row>
    <row r="174" spans="1:16" ht="18" customHeight="1">
      <c r="A174" s="77" t="s">
        <v>173</v>
      </c>
      <c r="B174" s="293" t="s">
        <v>191</v>
      </c>
      <c r="C174" s="78" t="s">
        <v>1</v>
      </c>
      <c r="D174" s="120">
        <v>1345.18</v>
      </c>
      <c r="E174" s="104"/>
      <c r="F174" s="21"/>
      <c r="G174" s="73"/>
      <c r="H174" s="38"/>
      <c r="I174" s="38"/>
      <c r="J174" s="83"/>
    </row>
    <row r="175" spans="1:16" ht="18" customHeight="1">
      <c r="A175" s="108"/>
      <c r="B175" s="90"/>
      <c r="C175" s="89"/>
      <c r="D175" s="30"/>
      <c r="E175" s="55" t="s">
        <v>87</v>
      </c>
      <c r="F175" s="27" t="s">
        <v>23</v>
      </c>
      <c r="G175" s="87">
        <v>9</v>
      </c>
      <c r="H175" s="40">
        <v>14000</v>
      </c>
      <c r="I175" s="40">
        <f>G175*H175</f>
        <v>126000</v>
      </c>
      <c r="J175" s="83"/>
    </row>
    <row r="176" spans="1:16" ht="18" customHeight="1">
      <c r="A176" s="108"/>
      <c r="B176" s="90"/>
      <c r="C176" s="89"/>
      <c r="D176" s="30"/>
      <c r="E176" s="55" t="s">
        <v>84</v>
      </c>
      <c r="F176" s="27" t="s">
        <v>12</v>
      </c>
      <c r="G176" s="87">
        <v>6</v>
      </c>
      <c r="H176" s="40">
        <v>5000</v>
      </c>
      <c r="I176" s="40">
        <f t="shared" ref="I176:I178" si="21">G176*H176</f>
        <v>30000</v>
      </c>
      <c r="J176" s="83"/>
    </row>
    <row r="177" spans="1:16" ht="18" customHeight="1">
      <c r="A177" s="108"/>
      <c r="B177" s="90"/>
      <c r="C177" s="89"/>
      <c r="D177" s="30"/>
      <c r="E177" s="55" t="s">
        <v>368</v>
      </c>
      <c r="F177" s="27" t="s">
        <v>8</v>
      </c>
      <c r="G177" s="87">
        <v>6</v>
      </c>
      <c r="H177" s="40">
        <v>700</v>
      </c>
      <c r="I177" s="40">
        <f t="shared" si="21"/>
        <v>4200</v>
      </c>
      <c r="J177" s="83"/>
    </row>
    <row r="178" spans="1:16" ht="18" customHeight="1">
      <c r="A178" s="108"/>
      <c r="B178" s="90"/>
      <c r="C178" s="89"/>
      <c r="D178" s="30"/>
      <c r="E178" s="55" t="s">
        <v>369</v>
      </c>
      <c r="F178" s="27" t="s">
        <v>12</v>
      </c>
      <c r="G178" s="87">
        <v>50</v>
      </c>
      <c r="H178" s="40">
        <v>250</v>
      </c>
      <c r="I178" s="40">
        <f t="shared" si="21"/>
        <v>12500</v>
      </c>
      <c r="J178" s="83"/>
    </row>
    <row r="179" spans="1:16" ht="27" customHeight="1">
      <c r="A179" s="72" t="s">
        <v>174</v>
      </c>
      <c r="B179" s="294" t="s">
        <v>246</v>
      </c>
      <c r="C179" s="78" t="s">
        <v>1</v>
      </c>
      <c r="D179" s="120">
        <v>361.43</v>
      </c>
      <c r="E179" s="104"/>
      <c r="F179" s="21"/>
      <c r="G179" s="73"/>
      <c r="H179" s="38"/>
      <c r="I179" s="38"/>
      <c r="J179" s="83"/>
    </row>
    <row r="180" spans="1:16" ht="26.25" customHeight="1">
      <c r="A180" s="106"/>
      <c r="B180" s="90"/>
      <c r="C180" s="89"/>
      <c r="D180" s="30"/>
      <c r="E180" s="55" t="s">
        <v>330</v>
      </c>
      <c r="F180" s="27" t="s">
        <v>8</v>
      </c>
      <c r="G180" s="87">
        <v>130</v>
      </c>
      <c r="H180" s="40">
        <v>4000</v>
      </c>
      <c r="I180" s="40">
        <f>G180*H180</f>
        <v>520000</v>
      </c>
      <c r="J180" s="83"/>
    </row>
    <row r="181" spans="1:16" s="6" customFormat="1" ht="18" customHeight="1">
      <c r="A181" s="106"/>
      <c r="B181" s="90"/>
      <c r="C181" s="89"/>
      <c r="D181" s="30"/>
      <c r="E181" s="55" t="s">
        <v>84</v>
      </c>
      <c r="F181" s="27" t="s">
        <v>12</v>
      </c>
      <c r="G181" s="87">
        <v>10</v>
      </c>
      <c r="H181" s="40">
        <v>5000</v>
      </c>
      <c r="I181" s="40">
        <f t="shared" ref="I181:I183" si="22">G181*H181</f>
        <v>50000</v>
      </c>
      <c r="J181" s="83"/>
      <c r="L181" s="606"/>
      <c r="M181" s="606"/>
      <c r="N181" s="188"/>
      <c r="P181" s="123"/>
    </row>
    <row r="182" spans="1:16" s="6" customFormat="1" ht="18" customHeight="1">
      <c r="A182" s="106"/>
      <c r="B182" s="90"/>
      <c r="C182" s="89"/>
      <c r="D182" s="30"/>
      <c r="E182" s="55" t="s">
        <v>86</v>
      </c>
      <c r="F182" s="27" t="s">
        <v>12</v>
      </c>
      <c r="G182" s="87">
        <v>6</v>
      </c>
      <c r="H182" s="40">
        <v>3500</v>
      </c>
      <c r="I182" s="40">
        <f t="shared" si="22"/>
        <v>21000</v>
      </c>
      <c r="J182" s="83"/>
      <c r="L182" s="606"/>
      <c r="M182" s="606"/>
      <c r="N182" s="188"/>
      <c r="P182" s="123"/>
    </row>
    <row r="183" spans="1:16" s="6" customFormat="1" ht="18" customHeight="1">
      <c r="A183" s="74"/>
      <c r="B183" s="90"/>
      <c r="C183" s="93"/>
      <c r="D183" s="31"/>
      <c r="E183" s="53" t="s">
        <v>85</v>
      </c>
      <c r="F183" s="23" t="s">
        <v>12</v>
      </c>
      <c r="G183" s="76">
        <v>6</v>
      </c>
      <c r="H183" s="44">
        <v>3000</v>
      </c>
      <c r="I183" s="40">
        <f t="shared" si="22"/>
        <v>18000</v>
      </c>
      <c r="J183" s="83"/>
      <c r="L183" s="606"/>
      <c r="M183" s="606"/>
      <c r="N183" s="188"/>
      <c r="P183" s="123"/>
    </row>
    <row r="184" spans="1:16" s="6" customFormat="1" ht="27" customHeight="1">
      <c r="A184" s="72" t="s">
        <v>175</v>
      </c>
      <c r="B184" s="294" t="s">
        <v>247</v>
      </c>
      <c r="C184" s="78" t="s">
        <v>1</v>
      </c>
      <c r="D184" s="120">
        <v>983.75</v>
      </c>
      <c r="E184" s="104"/>
      <c r="F184" s="21"/>
      <c r="G184" s="73"/>
      <c r="H184" s="38"/>
      <c r="I184" s="38"/>
      <c r="J184" s="83"/>
      <c r="L184" s="606"/>
      <c r="M184" s="606"/>
      <c r="N184" s="188"/>
      <c r="P184" s="123"/>
    </row>
    <row r="185" spans="1:16" s="6" customFormat="1" ht="26.25" customHeight="1">
      <c r="A185" s="106"/>
      <c r="B185" s="90"/>
      <c r="C185" s="107"/>
      <c r="D185" s="30"/>
      <c r="E185" s="55" t="s">
        <v>331</v>
      </c>
      <c r="F185" s="27" t="s">
        <v>8</v>
      </c>
      <c r="G185" s="87">
        <v>350</v>
      </c>
      <c r="H185" s="40">
        <v>3000</v>
      </c>
      <c r="I185" s="40">
        <f>G185*H185</f>
        <v>1050000</v>
      </c>
      <c r="J185" s="83"/>
      <c r="L185" s="606"/>
      <c r="M185" s="606"/>
      <c r="N185" s="188"/>
      <c r="P185" s="123"/>
    </row>
    <row r="186" spans="1:16" s="6" customFormat="1" ht="18" customHeight="1">
      <c r="A186" s="106"/>
      <c r="B186" s="90"/>
      <c r="C186" s="107"/>
      <c r="D186" s="30"/>
      <c r="E186" s="55" t="s">
        <v>84</v>
      </c>
      <c r="F186" s="27" t="s">
        <v>12</v>
      </c>
      <c r="G186" s="87">
        <v>15</v>
      </c>
      <c r="H186" s="40">
        <f>H181</f>
        <v>5000</v>
      </c>
      <c r="I186" s="40">
        <f t="shared" ref="I186:I188" si="23">G186*H186</f>
        <v>75000</v>
      </c>
      <c r="J186" s="83"/>
      <c r="L186" s="606"/>
      <c r="M186" s="606"/>
      <c r="N186" s="188"/>
      <c r="P186" s="123"/>
    </row>
    <row r="187" spans="1:16" s="6" customFormat="1" ht="18" customHeight="1">
      <c r="A187" s="106"/>
      <c r="B187" s="90"/>
      <c r="C187" s="107"/>
      <c r="D187" s="30"/>
      <c r="E187" s="55" t="s">
        <v>86</v>
      </c>
      <c r="F187" s="27" t="s">
        <v>12</v>
      </c>
      <c r="G187" s="87">
        <v>8</v>
      </c>
      <c r="H187" s="40">
        <f>H182</f>
        <v>3500</v>
      </c>
      <c r="I187" s="40">
        <f t="shared" si="23"/>
        <v>28000</v>
      </c>
      <c r="J187" s="83"/>
      <c r="L187" s="606"/>
      <c r="M187" s="606"/>
      <c r="N187" s="188"/>
      <c r="P187" s="123"/>
    </row>
    <row r="188" spans="1:16" s="6" customFormat="1" ht="18" customHeight="1">
      <c r="A188" s="106"/>
      <c r="B188" s="90"/>
      <c r="C188" s="107"/>
      <c r="D188" s="30"/>
      <c r="E188" s="55" t="s">
        <v>85</v>
      </c>
      <c r="F188" s="27" t="s">
        <v>12</v>
      </c>
      <c r="G188" s="87">
        <v>8</v>
      </c>
      <c r="H188" s="40">
        <f>H183</f>
        <v>3000</v>
      </c>
      <c r="I188" s="40">
        <f t="shared" si="23"/>
        <v>24000</v>
      </c>
      <c r="J188" s="83"/>
      <c r="L188" s="606"/>
      <c r="M188" s="606"/>
      <c r="N188" s="188"/>
      <c r="P188" s="123"/>
    </row>
    <row r="189" spans="1:16" s="6" customFormat="1" ht="18" customHeight="1">
      <c r="A189" s="585"/>
      <c r="B189" s="586"/>
      <c r="C189" s="587"/>
      <c r="D189" s="288"/>
      <c r="E189" s="588"/>
      <c r="F189" s="569"/>
      <c r="G189" s="64"/>
      <c r="H189" s="180"/>
      <c r="I189" s="180"/>
      <c r="J189" s="83"/>
      <c r="L189" s="606"/>
      <c r="M189" s="606"/>
      <c r="N189" s="188"/>
      <c r="P189" s="123"/>
    </row>
    <row r="190" spans="1:16" s="6" customFormat="1" ht="27" customHeight="1">
      <c r="A190" s="72" t="s">
        <v>176</v>
      </c>
      <c r="B190" s="289" t="s">
        <v>311</v>
      </c>
      <c r="C190" s="103" t="s">
        <v>1</v>
      </c>
      <c r="D190" s="120">
        <v>446.89</v>
      </c>
      <c r="E190" s="104"/>
      <c r="F190" s="21"/>
      <c r="G190" s="109"/>
      <c r="H190" s="118"/>
      <c r="I190" s="118"/>
      <c r="J190" s="209"/>
      <c r="L190" s="606"/>
      <c r="M190" s="606"/>
      <c r="N190" s="188"/>
      <c r="P190" s="123"/>
    </row>
    <row r="191" spans="1:16" s="6" customFormat="1" ht="18" customHeight="1">
      <c r="A191" s="108"/>
      <c r="B191" s="90"/>
      <c r="C191" s="107"/>
      <c r="D191" s="30"/>
      <c r="E191" s="55" t="s">
        <v>55</v>
      </c>
      <c r="F191" s="27" t="s">
        <v>8</v>
      </c>
      <c r="G191" s="87">
        <v>65</v>
      </c>
      <c r="H191" s="40">
        <f>H185</f>
        <v>3000</v>
      </c>
      <c r="I191" s="40">
        <f t="shared" ref="I191:I197" si="24">G191*H191</f>
        <v>195000</v>
      </c>
      <c r="J191" s="83"/>
      <c r="L191" s="606"/>
      <c r="M191" s="606"/>
      <c r="N191" s="188"/>
      <c r="P191" s="123"/>
    </row>
    <row r="192" spans="1:16" s="6" customFormat="1" ht="18" customHeight="1">
      <c r="A192" s="108"/>
      <c r="B192" s="90"/>
      <c r="C192" s="107"/>
      <c r="D192" s="30"/>
      <c r="E192" s="55" t="s">
        <v>24</v>
      </c>
      <c r="F192" s="27" t="s">
        <v>8</v>
      </c>
      <c r="G192" s="110">
        <v>87</v>
      </c>
      <c r="H192" s="79">
        <v>15000</v>
      </c>
      <c r="I192" s="79">
        <f t="shared" si="24"/>
        <v>1305000</v>
      </c>
      <c r="J192" s="209"/>
      <c r="L192" s="606"/>
      <c r="M192" s="606"/>
      <c r="N192" s="188"/>
      <c r="P192" s="123"/>
    </row>
    <row r="193" spans="1:16" s="6" customFormat="1" ht="18" customHeight="1">
      <c r="A193" s="108"/>
      <c r="B193" s="90"/>
      <c r="C193" s="107"/>
      <c r="D193" s="30"/>
      <c r="E193" s="55" t="s">
        <v>321</v>
      </c>
      <c r="F193" s="27" t="s">
        <v>8</v>
      </c>
      <c r="G193" s="110">
        <v>2</v>
      </c>
      <c r="H193" s="79">
        <v>15000</v>
      </c>
      <c r="I193" s="79">
        <f t="shared" si="24"/>
        <v>30000</v>
      </c>
      <c r="J193" s="209"/>
      <c r="L193" s="606"/>
      <c r="M193" s="606"/>
      <c r="N193" s="188"/>
      <c r="P193" s="123"/>
    </row>
    <row r="194" spans="1:16" s="6" customFormat="1" ht="18" customHeight="1">
      <c r="A194" s="108"/>
      <c r="B194" s="90"/>
      <c r="C194" s="107"/>
      <c r="D194" s="30"/>
      <c r="E194" s="55" t="s">
        <v>89</v>
      </c>
      <c r="F194" s="27" t="s">
        <v>90</v>
      </c>
      <c r="G194" s="110">
        <v>15</v>
      </c>
      <c r="H194" s="79">
        <v>6000</v>
      </c>
      <c r="I194" s="79">
        <f t="shared" si="24"/>
        <v>90000</v>
      </c>
      <c r="J194" s="209"/>
      <c r="L194" s="606"/>
      <c r="M194" s="606"/>
      <c r="N194" s="188"/>
      <c r="P194" s="123"/>
    </row>
    <row r="195" spans="1:16" s="6" customFormat="1" ht="18" customHeight="1">
      <c r="A195" s="108"/>
      <c r="B195" s="90"/>
      <c r="C195" s="107"/>
      <c r="D195" s="30"/>
      <c r="E195" s="55" t="s">
        <v>84</v>
      </c>
      <c r="F195" s="27" t="s">
        <v>12</v>
      </c>
      <c r="G195" s="87">
        <v>5</v>
      </c>
      <c r="H195" s="40">
        <f>H181</f>
        <v>5000</v>
      </c>
      <c r="I195" s="40">
        <f t="shared" si="24"/>
        <v>25000</v>
      </c>
      <c r="J195" s="83"/>
      <c r="L195" s="606"/>
      <c r="M195" s="606"/>
      <c r="N195" s="188"/>
      <c r="P195" s="123"/>
    </row>
    <row r="196" spans="1:16" s="6" customFormat="1" ht="18" customHeight="1">
      <c r="A196" s="108"/>
      <c r="B196" s="90"/>
      <c r="C196" s="107"/>
      <c r="D196" s="30"/>
      <c r="E196" s="55" t="s">
        <v>86</v>
      </c>
      <c r="F196" s="27" t="s">
        <v>12</v>
      </c>
      <c r="G196" s="110">
        <v>5</v>
      </c>
      <c r="H196" s="79">
        <f>H182</f>
        <v>3500</v>
      </c>
      <c r="I196" s="79">
        <f t="shared" si="24"/>
        <v>17500</v>
      </c>
      <c r="J196" s="209"/>
      <c r="L196" s="606"/>
      <c r="M196" s="606"/>
      <c r="N196" s="188"/>
      <c r="P196" s="123"/>
    </row>
    <row r="197" spans="1:16" s="6" customFormat="1" ht="18" customHeight="1">
      <c r="A197" s="108"/>
      <c r="B197" s="90"/>
      <c r="C197" s="107"/>
      <c r="D197" s="30"/>
      <c r="E197" s="53" t="s">
        <v>85</v>
      </c>
      <c r="F197" s="23" t="s">
        <v>12</v>
      </c>
      <c r="G197" s="110">
        <v>8</v>
      </c>
      <c r="H197" s="79">
        <f>H183</f>
        <v>3000</v>
      </c>
      <c r="I197" s="79">
        <f t="shared" si="24"/>
        <v>24000</v>
      </c>
      <c r="J197" s="209"/>
      <c r="L197" s="606"/>
      <c r="M197" s="606"/>
      <c r="N197" s="188"/>
      <c r="P197" s="123"/>
    </row>
    <row r="198" spans="1:16" ht="27" customHeight="1">
      <c r="A198" s="72" t="s">
        <v>249</v>
      </c>
      <c r="B198" s="289" t="s">
        <v>117</v>
      </c>
      <c r="C198" s="78" t="s">
        <v>1</v>
      </c>
      <c r="D198" s="120">
        <v>37.33</v>
      </c>
      <c r="E198" s="104"/>
      <c r="F198" s="21"/>
      <c r="G198" s="73"/>
      <c r="H198" s="38"/>
      <c r="I198" s="38"/>
      <c r="J198" s="83"/>
    </row>
    <row r="199" spans="1:16" ht="18" customHeight="1">
      <c r="A199" s="106"/>
      <c r="B199" s="90"/>
      <c r="C199" s="89"/>
      <c r="D199" s="30"/>
      <c r="E199" s="55" t="s">
        <v>118</v>
      </c>
      <c r="F199" s="27" t="s">
        <v>1</v>
      </c>
      <c r="G199" s="87">
        <v>37.33</v>
      </c>
      <c r="H199" s="40">
        <v>25000</v>
      </c>
      <c r="I199" s="40">
        <f>G199*H199</f>
        <v>933250</v>
      </c>
      <c r="J199" s="83"/>
    </row>
    <row r="200" spans="1:16" ht="18" customHeight="1">
      <c r="A200" s="106"/>
      <c r="B200" s="90"/>
      <c r="C200" s="89"/>
      <c r="D200" s="30"/>
      <c r="E200" s="55" t="s">
        <v>339</v>
      </c>
      <c r="F200" s="27" t="s">
        <v>98</v>
      </c>
      <c r="G200" s="87">
        <v>15</v>
      </c>
      <c r="H200" s="40">
        <v>2800</v>
      </c>
      <c r="I200" s="40">
        <f>H200*G200</f>
        <v>42000</v>
      </c>
      <c r="J200" s="83"/>
    </row>
    <row r="201" spans="1:16" ht="18" customHeight="1">
      <c r="A201" s="105"/>
      <c r="B201" s="105"/>
      <c r="C201" s="19"/>
      <c r="D201" s="31"/>
      <c r="E201" s="53" t="s">
        <v>82</v>
      </c>
      <c r="F201" s="23" t="s">
        <v>83</v>
      </c>
      <c r="G201" s="76">
        <v>8</v>
      </c>
      <c r="H201" s="44">
        <v>3000</v>
      </c>
      <c r="I201" s="44">
        <f>H201*G201</f>
        <v>24000</v>
      </c>
      <c r="J201" s="83"/>
    </row>
    <row r="202" spans="1:16" ht="28.5" customHeight="1">
      <c r="A202" s="277"/>
      <c r="B202" s="277"/>
      <c r="C202" s="4"/>
      <c r="D202" s="259"/>
      <c r="E202" s="63"/>
      <c r="F202" s="769" t="s">
        <v>190</v>
      </c>
      <c r="G202" s="770"/>
      <c r="H202" s="771"/>
      <c r="I202" s="268">
        <f>SUM(I174:I201)</f>
        <v>4644450</v>
      </c>
      <c r="J202" s="616"/>
    </row>
    <row r="203" spans="1:16" ht="15" customHeight="1">
      <c r="A203" s="772" t="s">
        <v>250</v>
      </c>
      <c r="B203" s="772"/>
      <c r="C203" s="4"/>
      <c r="D203" s="259"/>
      <c r="E203" s="63"/>
      <c r="F203" s="65"/>
      <c r="G203" s="66"/>
      <c r="H203" s="83"/>
      <c r="I203" s="83"/>
      <c r="J203" s="83"/>
    </row>
    <row r="204" spans="1:16" ht="15" customHeight="1">
      <c r="A204" s="340"/>
      <c r="B204" s="340"/>
      <c r="C204" s="4"/>
      <c r="D204" s="259"/>
      <c r="E204" s="63"/>
      <c r="F204" s="65"/>
      <c r="G204" s="66"/>
      <c r="H204" s="83"/>
      <c r="I204" s="83"/>
      <c r="J204" s="83"/>
    </row>
    <row r="205" spans="1:16" s="3" customFormat="1" ht="18" customHeight="1">
      <c r="A205" s="20" t="s">
        <v>30</v>
      </c>
      <c r="B205" s="20" t="s">
        <v>31</v>
      </c>
      <c r="C205" s="20" t="s">
        <v>12</v>
      </c>
      <c r="D205" s="20" t="s">
        <v>32</v>
      </c>
      <c r="E205" s="20" t="s">
        <v>34</v>
      </c>
      <c r="F205" s="20" t="s">
        <v>12</v>
      </c>
      <c r="G205" s="36" t="s">
        <v>32</v>
      </c>
      <c r="H205" s="37" t="s">
        <v>40</v>
      </c>
      <c r="I205" s="37" t="s">
        <v>33</v>
      </c>
      <c r="J205" s="613"/>
      <c r="K205" s="187"/>
      <c r="L205" s="607"/>
      <c r="M205" s="607"/>
      <c r="N205" s="132"/>
      <c r="O205" s="187"/>
      <c r="P205" s="599"/>
    </row>
    <row r="206" spans="1:16" s="116" customFormat="1" ht="27" customHeight="1">
      <c r="A206" s="72" t="s">
        <v>26</v>
      </c>
      <c r="B206" s="313" t="s">
        <v>253</v>
      </c>
      <c r="C206" s="78" t="s">
        <v>129</v>
      </c>
      <c r="D206" s="235">
        <v>1</v>
      </c>
      <c r="E206" s="235"/>
      <c r="F206" s="236"/>
      <c r="G206" s="237"/>
      <c r="H206" s="238"/>
      <c r="I206" s="238"/>
      <c r="J206" s="619"/>
      <c r="K206" s="115"/>
      <c r="L206" s="612"/>
      <c r="M206" s="612"/>
      <c r="O206" s="115"/>
      <c r="P206" s="602"/>
    </row>
    <row r="207" spans="1:16" s="116" customFormat="1" ht="26.25" customHeight="1">
      <c r="A207" s="106"/>
      <c r="B207" s="95"/>
      <c r="C207" s="89"/>
      <c r="D207" s="252"/>
      <c r="E207" s="255" t="s">
        <v>346</v>
      </c>
      <c r="F207" s="253" t="s">
        <v>129</v>
      </c>
      <c r="G207" s="253">
        <v>1</v>
      </c>
      <c r="H207" s="254">
        <v>500000</v>
      </c>
      <c r="I207" s="254">
        <f>G207*H207</f>
        <v>500000</v>
      </c>
      <c r="J207" s="619"/>
      <c r="K207" s="115"/>
      <c r="L207" s="612"/>
      <c r="M207" s="612"/>
      <c r="O207" s="115"/>
      <c r="P207" s="602"/>
    </row>
    <row r="208" spans="1:16" s="116" customFormat="1" ht="39.75" customHeight="1">
      <c r="A208" s="106"/>
      <c r="B208" s="95"/>
      <c r="C208" s="89"/>
      <c r="D208" s="252"/>
      <c r="E208" s="255" t="s">
        <v>373</v>
      </c>
      <c r="F208" s="253" t="s">
        <v>129</v>
      </c>
      <c r="G208" s="253">
        <v>1</v>
      </c>
      <c r="H208" s="254">
        <v>200000</v>
      </c>
      <c r="I208" s="254">
        <f>G208*H208</f>
        <v>200000</v>
      </c>
      <c r="J208" s="619"/>
      <c r="K208" s="115"/>
      <c r="L208" s="612"/>
      <c r="M208" s="612"/>
      <c r="O208" s="115"/>
      <c r="P208" s="602"/>
    </row>
    <row r="209" spans="1:16" s="116" customFormat="1" ht="26.25" customHeight="1">
      <c r="A209" s="106"/>
      <c r="B209" s="95"/>
      <c r="C209" s="89"/>
      <c r="D209" s="252"/>
      <c r="E209" s="255" t="s">
        <v>345</v>
      </c>
      <c r="F209" s="253" t="s">
        <v>129</v>
      </c>
      <c r="G209" s="253">
        <v>1</v>
      </c>
      <c r="H209" s="254">
        <v>400000</v>
      </c>
      <c r="I209" s="254">
        <f>G209*H209</f>
        <v>400000</v>
      </c>
      <c r="J209" s="619"/>
      <c r="K209" s="115"/>
      <c r="L209" s="612"/>
      <c r="M209" s="612"/>
      <c r="O209" s="115"/>
      <c r="P209" s="602"/>
    </row>
    <row r="210" spans="1:16" s="116" customFormat="1" ht="38.25" customHeight="1">
      <c r="A210" s="106"/>
      <c r="B210" s="95"/>
      <c r="C210" s="89"/>
      <c r="D210" s="252"/>
      <c r="E210" s="255" t="s">
        <v>374</v>
      </c>
      <c r="F210" s="253" t="s">
        <v>129</v>
      </c>
      <c r="G210" s="253">
        <v>1</v>
      </c>
      <c r="H210" s="254">
        <v>150000</v>
      </c>
      <c r="I210" s="254">
        <f>G210*H210</f>
        <v>150000</v>
      </c>
      <c r="J210" s="619"/>
      <c r="K210" s="115"/>
      <c r="L210" s="612"/>
      <c r="M210" s="612"/>
      <c r="O210" s="115"/>
      <c r="P210" s="602"/>
    </row>
    <row r="211" spans="1:16" s="116" customFormat="1" ht="27" customHeight="1">
      <c r="A211" s="72" t="s">
        <v>27</v>
      </c>
      <c r="B211" s="289" t="s">
        <v>254</v>
      </c>
      <c r="C211" s="78" t="s">
        <v>12</v>
      </c>
      <c r="D211" s="235">
        <v>4</v>
      </c>
      <c r="E211" s="235"/>
      <c r="F211" s="236"/>
      <c r="G211" s="237"/>
      <c r="H211" s="238"/>
      <c r="I211" s="238"/>
      <c r="J211" s="619"/>
      <c r="K211" s="115"/>
      <c r="L211" s="612"/>
      <c r="M211" s="612"/>
      <c r="O211" s="115"/>
      <c r="P211" s="602"/>
    </row>
    <row r="212" spans="1:16" s="116" customFormat="1" ht="26.25" customHeight="1">
      <c r="A212" s="74"/>
      <c r="B212" s="75"/>
      <c r="C212" s="93"/>
      <c r="D212" s="239"/>
      <c r="E212" s="250" t="s">
        <v>340</v>
      </c>
      <c r="F212" s="240" t="s">
        <v>12</v>
      </c>
      <c r="G212" s="240">
        <v>4</v>
      </c>
      <c r="H212" s="241">
        <v>187000</v>
      </c>
      <c r="I212" s="241">
        <f>G212*H212</f>
        <v>748000</v>
      </c>
      <c r="J212" s="619"/>
      <c r="K212" s="115"/>
      <c r="L212" s="612"/>
      <c r="M212" s="612"/>
      <c r="O212" s="115"/>
      <c r="P212" s="602"/>
    </row>
    <row r="213" spans="1:16" s="116" customFormat="1" ht="27" customHeight="1">
      <c r="A213" s="72" t="s">
        <v>28</v>
      </c>
      <c r="B213" s="289" t="s">
        <v>255</v>
      </c>
      <c r="C213" s="78" t="s">
        <v>12</v>
      </c>
      <c r="D213" s="235">
        <v>2</v>
      </c>
      <c r="E213" s="251"/>
      <c r="F213" s="236"/>
      <c r="G213" s="236"/>
      <c r="H213" s="238"/>
      <c r="I213" s="238"/>
      <c r="J213" s="619"/>
      <c r="K213" s="115"/>
      <c r="L213" s="612"/>
      <c r="M213" s="612"/>
      <c r="O213" s="115"/>
      <c r="P213" s="602"/>
    </row>
    <row r="214" spans="1:16" s="116" customFormat="1" ht="40.5" customHeight="1">
      <c r="A214" s="74"/>
      <c r="B214" s="75"/>
      <c r="C214" s="93"/>
      <c r="D214" s="239"/>
      <c r="E214" s="250" t="s">
        <v>342</v>
      </c>
      <c r="F214" s="240" t="s">
        <v>12</v>
      </c>
      <c r="G214" s="240">
        <v>2</v>
      </c>
      <c r="H214" s="241">
        <v>295000</v>
      </c>
      <c r="I214" s="241">
        <f>G214*H214</f>
        <v>590000</v>
      </c>
      <c r="J214" s="619"/>
      <c r="K214" s="115"/>
      <c r="L214" s="612"/>
      <c r="M214" s="612"/>
      <c r="O214" s="115"/>
      <c r="P214" s="602"/>
    </row>
    <row r="215" spans="1:16" s="116" customFormat="1" ht="40.5" customHeight="1">
      <c r="A215" s="585"/>
      <c r="B215" s="586"/>
      <c r="C215" s="587"/>
      <c r="D215" s="589"/>
      <c r="E215" s="590"/>
      <c r="F215" s="591"/>
      <c r="G215" s="591"/>
      <c r="H215" s="592"/>
      <c r="I215" s="592"/>
      <c r="J215" s="619"/>
      <c r="K215" s="115"/>
      <c r="L215" s="612"/>
      <c r="M215" s="612"/>
      <c r="O215" s="115"/>
      <c r="P215" s="602"/>
    </row>
    <row r="216" spans="1:16" s="116" customFormat="1" ht="18.75" customHeight="1">
      <c r="A216" s="77" t="s">
        <v>29</v>
      </c>
      <c r="B216" s="313" t="s">
        <v>256</v>
      </c>
      <c r="C216" s="242" t="s">
        <v>12</v>
      </c>
      <c r="D216" s="235">
        <v>2</v>
      </c>
      <c r="E216" s="251"/>
      <c r="F216" s="236"/>
      <c r="G216" s="236"/>
      <c r="H216" s="238"/>
      <c r="I216" s="238"/>
      <c r="J216" s="619"/>
      <c r="K216" s="115"/>
      <c r="L216" s="612"/>
      <c r="M216" s="612"/>
      <c r="O216" s="115"/>
      <c r="P216" s="602"/>
    </row>
    <row r="217" spans="1:16" s="116" customFormat="1" ht="26.25" customHeight="1">
      <c r="A217" s="74"/>
      <c r="B217" s="314"/>
      <c r="C217" s="243"/>
      <c r="D217" s="239"/>
      <c r="E217" s="250" t="s">
        <v>341</v>
      </c>
      <c r="F217" s="240" t="s">
        <v>12</v>
      </c>
      <c r="G217" s="240">
        <v>2</v>
      </c>
      <c r="H217" s="244">
        <v>59000</v>
      </c>
      <c r="I217" s="244">
        <f>G217*H217</f>
        <v>118000</v>
      </c>
      <c r="J217" s="619"/>
      <c r="K217" s="115"/>
      <c r="L217" s="612"/>
      <c r="M217" s="612"/>
      <c r="O217" s="115"/>
      <c r="P217" s="602"/>
    </row>
    <row r="218" spans="1:16" s="116" customFormat="1" ht="30" customHeight="1">
      <c r="A218" s="272"/>
      <c r="B218" s="315"/>
      <c r="C218" s="278"/>
      <c r="D218" s="274"/>
      <c r="E218" s="279"/>
      <c r="F218" s="769" t="s">
        <v>133</v>
      </c>
      <c r="G218" s="770"/>
      <c r="H218" s="771"/>
      <c r="I218" s="280">
        <f>SUM(I206:I217)</f>
        <v>2706000</v>
      </c>
      <c r="J218" s="620"/>
      <c r="K218" s="115"/>
      <c r="L218" s="612"/>
      <c r="M218" s="612"/>
      <c r="O218" s="115"/>
      <c r="P218" s="602"/>
    </row>
    <row r="219" spans="1:16" ht="18" customHeight="1">
      <c r="A219" s="772" t="s">
        <v>251</v>
      </c>
      <c r="B219" s="772"/>
      <c r="C219" s="4"/>
      <c r="D219" s="259"/>
      <c r="E219" s="63"/>
      <c r="F219" s="65"/>
      <c r="G219" s="66"/>
      <c r="H219" s="83"/>
      <c r="I219" s="83"/>
      <c r="J219" s="83"/>
    </row>
    <row r="220" spans="1:16" ht="18" customHeight="1">
      <c r="A220" s="340"/>
      <c r="B220" s="340"/>
      <c r="C220" s="4"/>
      <c r="D220" s="259"/>
      <c r="E220" s="63"/>
      <c r="F220" s="65"/>
      <c r="G220" s="66"/>
      <c r="H220" s="83"/>
      <c r="I220" s="83"/>
      <c r="J220" s="83"/>
    </row>
    <row r="221" spans="1:16" s="3" customFormat="1" ht="18" customHeight="1">
      <c r="A221" s="20" t="s">
        <v>30</v>
      </c>
      <c r="B221" s="20" t="s">
        <v>31</v>
      </c>
      <c r="C221" s="20" t="s">
        <v>12</v>
      </c>
      <c r="D221" s="20" t="s">
        <v>32</v>
      </c>
      <c r="E221" s="20" t="s">
        <v>34</v>
      </c>
      <c r="F221" s="20" t="s">
        <v>12</v>
      </c>
      <c r="G221" s="36" t="s">
        <v>32</v>
      </c>
      <c r="H221" s="37" t="s">
        <v>40</v>
      </c>
      <c r="I221" s="37" t="s">
        <v>33</v>
      </c>
      <c r="J221" s="613"/>
      <c r="K221" s="187"/>
      <c r="L221" s="607"/>
      <c r="M221" s="607"/>
      <c r="N221" s="132"/>
      <c r="O221" s="187"/>
      <c r="P221" s="599"/>
    </row>
    <row r="222" spans="1:16" s="132" customFormat="1" ht="26.25" customHeight="1">
      <c r="A222" s="72" t="s">
        <v>261</v>
      </c>
      <c r="B222" s="289" t="s">
        <v>269</v>
      </c>
      <c r="C222" s="78" t="s">
        <v>10</v>
      </c>
      <c r="D222" s="120">
        <v>75</v>
      </c>
      <c r="E222" s="104"/>
      <c r="F222" s="21"/>
      <c r="G222" s="109"/>
      <c r="H222" s="118"/>
      <c r="I222" s="118"/>
      <c r="J222" s="209"/>
      <c r="K222" s="188"/>
      <c r="L222" s="608"/>
      <c r="M222" s="608"/>
      <c r="O222" s="188"/>
      <c r="P222" s="600"/>
    </row>
    <row r="223" spans="1:16" s="132" customFormat="1" ht="18.75" customHeight="1">
      <c r="A223" s="106"/>
      <c r="B223" s="90"/>
      <c r="C223" s="89"/>
      <c r="D223" s="30"/>
      <c r="E223" s="55" t="s">
        <v>139</v>
      </c>
      <c r="F223" s="27" t="s">
        <v>12</v>
      </c>
      <c r="G223" s="110">
        <v>13</v>
      </c>
      <c r="H223" s="79">
        <v>25000</v>
      </c>
      <c r="I223" s="79">
        <f>G223*H223</f>
        <v>325000</v>
      </c>
      <c r="J223" s="209"/>
      <c r="K223" s="188"/>
      <c r="L223" s="608"/>
      <c r="M223" s="608"/>
      <c r="O223" s="188"/>
      <c r="P223" s="600"/>
    </row>
    <row r="224" spans="1:16" s="132" customFormat="1" ht="18.75" customHeight="1">
      <c r="A224" s="106"/>
      <c r="B224" s="90"/>
      <c r="C224" s="89"/>
      <c r="D224" s="30"/>
      <c r="E224" s="55" t="s">
        <v>336</v>
      </c>
      <c r="F224" s="27" t="s">
        <v>12</v>
      </c>
      <c r="G224" s="110">
        <v>10</v>
      </c>
      <c r="H224" s="79">
        <v>3500</v>
      </c>
      <c r="I224" s="79">
        <f t="shared" ref="I224:I225" si="25">G224*H224</f>
        <v>35000</v>
      </c>
      <c r="J224" s="209"/>
      <c r="K224" s="188"/>
      <c r="L224" s="608"/>
      <c r="M224" s="608"/>
      <c r="O224" s="188"/>
      <c r="P224" s="600"/>
    </row>
    <row r="225" spans="1:16" s="132" customFormat="1" ht="18.75" customHeight="1">
      <c r="A225" s="74"/>
      <c r="B225" s="75"/>
      <c r="C225" s="93"/>
      <c r="D225" s="31"/>
      <c r="E225" s="247" t="s">
        <v>198</v>
      </c>
      <c r="F225" s="23" t="s">
        <v>110</v>
      </c>
      <c r="G225" s="245">
        <v>2</v>
      </c>
      <c r="H225" s="47">
        <v>8500</v>
      </c>
      <c r="I225" s="79">
        <f t="shared" si="25"/>
        <v>17000</v>
      </c>
      <c r="J225" s="209"/>
      <c r="K225" s="188"/>
      <c r="L225" s="608"/>
      <c r="M225" s="608"/>
      <c r="O225" s="188"/>
      <c r="P225" s="600"/>
    </row>
    <row r="226" spans="1:16" s="132" customFormat="1" ht="18.75" customHeight="1">
      <c r="A226" s="77" t="s">
        <v>262</v>
      </c>
      <c r="B226" s="289" t="s">
        <v>270</v>
      </c>
      <c r="C226" s="78" t="s">
        <v>12</v>
      </c>
      <c r="D226" s="120">
        <v>1</v>
      </c>
      <c r="E226" s="104"/>
      <c r="F226" s="21"/>
      <c r="G226" s="109"/>
      <c r="H226" s="118"/>
      <c r="I226" s="118"/>
      <c r="J226" s="209"/>
      <c r="K226" s="188"/>
      <c r="L226" s="608"/>
      <c r="M226" s="608"/>
      <c r="O226" s="188"/>
      <c r="P226" s="600"/>
    </row>
    <row r="227" spans="1:16" s="132" customFormat="1" ht="18.75" customHeight="1">
      <c r="A227" s="108"/>
      <c r="B227" s="90"/>
      <c r="C227" s="89"/>
      <c r="D227" s="30"/>
      <c r="E227" s="39" t="s">
        <v>106</v>
      </c>
      <c r="F227" s="27" t="s">
        <v>23</v>
      </c>
      <c r="G227" s="110">
        <v>10</v>
      </c>
      <c r="H227" s="79">
        <f>+H239</f>
        <v>23000</v>
      </c>
      <c r="I227" s="79">
        <f>G227*H227</f>
        <v>230000</v>
      </c>
      <c r="J227" s="209"/>
      <c r="K227" s="188"/>
      <c r="L227" s="608"/>
      <c r="M227" s="608"/>
      <c r="O227" s="188"/>
      <c r="P227" s="600"/>
    </row>
    <row r="228" spans="1:16" s="132" customFormat="1" ht="18.75" customHeight="1">
      <c r="A228" s="108"/>
      <c r="B228" s="90"/>
      <c r="C228" s="89"/>
      <c r="D228" s="30"/>
      <c r="E228" s="39" t="s">
        <v>42</v>
      </c>
      <c r="F228" s="27" t="s">
        <v>2</v>
      </c>
      <c r="G228" s="246">
        <v>4.5</v>
      </c>
      <c r="H228" s="79">
        <f>+H240</f>
        <v>8000</v>
      </c>
      <c r="I228" s="79">
        <f t="shared" ref="I228:I237" si="26">G228*H228</f>
        <v>36000</v>
      </c>
      <c r="J228" s="209"/>
      <c r="K228" s="188"/>
      <c r="L228" s="608"/>
      <c r="M228" s="608"/>
      <c r="O228" s="188"/>
      <c r="P228" s="600"/>
    </row>
    <row r="229" spans="1:16" s="132" customFormat="1" ht="18.75" customHeight="1">
      <c r="A229" s="108"/>
      <c r="B229" s="90"/>
      <c r="C229" s="89"/>
      <c r="D229" s="30"/>
      <c r="E229" s="39" t="s">
        <v>348</v>
      </c>
      <c r="F229" s="27" t="s">
        <v>2</v>
      </c>
      <c r="G229" s="246">
        <v>3.5</v>
      </c>
      <c r="H229" s="79">
        <f>+H241</f>
        <v>40000</v>
      </c>
      <c r="I229" s="79">
        <f t="shared" si="26"/>
        <v>140000</v>
      </c>
      <c r="J229" s="209"/>
      <c r="K229" s="188"/>
      <c r="L229" s="608"/>
      <c r="M229" s="608"/>
      <c r="O229" s="188"/>
      <c r="P229" s="600"/>
    </row>
    <row r="230" spans="1:16" s="132" customFormat="1" ht="18.75" customHeight="1">
      <c r="A230" s="108"/>
      <c r="B230" s="90"/>
      <c r="C230" s="89"/>
      <c r="D230" s="30"/>
      <c r="E230" s="39" t="s">
        <v>44</v>
      </c>
      <c r="F230" s="27" t="s">
        <v>12</v>
      </c>
      <c r="G230" s="249">
        <v>400</v>
      </c>
      <c r="H230" s="79">
        <v>400</v>
      </c>
      <c r="I230" s="79">
        <f t="shared" si="26"/>
        <v>160000</v>
      </c>
      <c r="J230" s="209"/>
      <c r="K230" s="188"/>
      <c r="L230" s="608"/>
      <c r="M230" s="608"/>
      <c r="O230" s="188"/>
      <c r="P230" s="600"/>
    </row>
    <row r="231" spans="1:16" s="132" customFormat="1" ht="18.75" customHeight="1">
      <c r="A231" s="108"/>
      <c r="B231" s="90"/>
      <c r="C231" s="89"/>
      <c r="D231" s="30"/>
      <c r="E231" s="39" t="s">
        <v>38</v>
      </c>
      <c r="F231" s="27" t="s">
        <v>2</v>
      </c>
      <c r="G231" s="246">
        <v>2</v>
      </c>
      <c r="H231" s="79">
        <v>50000</v>
      </c>
      <c r="I231" s="79">
        <f t="shared" si="26"/>
        <v>100000</v>
      </c>
      <c r="J231" s="209"/>
      <c r="K231" s="188"/>
      <c r="L231" s="608"/>
      <c r="M231" s="608"/>
      <c r="O231" s="188"/>
      <c r="P231" s="600"/>
    </row>
    <row r="232" spans="1:16" s="132" customFormat="1" ht="18.75" customHeight="1">
      <c r="A232" s="108"/>
      <c r="B232" s="90"/>
      <c r="C232" s="89"/>
      <c r="D232" s="30"/>
      <c r="E232" s="39" t="s">
        <v>313</v>
      </c>
      <c r="F232" s="27" t="s">
        <v>2</v>
      </c>
      <c r="G232" s="246">
        <v>2</v>
      </c>
      <c r="H232" s="79">
        <v>40000</v>
      </c>
      <c r="I232" s="79">
        <f t="shared" si="26"/>
        <v>80000</v>
      </c>
      <c r="J232" s="209"/>
      <c r="K232" s="188"/>
      <c r="L232" s="608"/>
      <c r="M232" s="608"/>
      <c r="O232" s="188"/>
      <c r="P232" s="600"/>
    </row>
    <row r="233" spans="1:16" s="132" customFormat="1" ht="18.75" customHeight="1">
      <c r="A233" s="108"/>
      <c r="B233" s="90"/>
      <c r="C233" s="89"/>
      <c r="D233" s="30"/>
      <c r="E233" s="55" t="s">
        <v>347</v>
      </c>
      <c r="F233" s="27" t="s">
        <v>37</v>
      </c>
      <c r="G233" s="110">
        <v>6</v>
      </c>
      <c r="H233" s="79">
        <f>H58</f>
        <v>17300</v>
      </c>
      <c r="I233" s="79">
        <f t="shared" si="26"/>
        <v>103800</v>
      </c>
      <c r="J233" s="209"/>
      <c r="K233" s="188"/>
      <c r="L233" s="608"/>
      <c r="M233" s="608"/>
      <c r="O233" s="188"/>
      <c r="P233" s="600"/>
    </row>
    <row r="234" spans="1:16" s="132" customFormat="1" ht="18.75" customHeight="1">
      <c r="A234" s="108"/>
      <c r="B234" s="90"/>
      <c r="C234" s="89"/>
      <c r="D234" s="30"/>
      <c r="E234" s="55" t="s">
        <v>45</v>
      </c>
      <c r="F234" s="27" t="s">
        <v>8</v>
      </c>
      <c r="G234" s="110">
        <v>0.5</v>
      </c>
      <c r="H234" s="79">
        <f>+H243</f>
        <v>5000</v>
      </c>
      <c r="I234" s="79">
        <f t="shared" si="26"/>
        <v>2500</v>
      </c>
      <c r="J234" s="209"/>
      <c r="K234" s="188"/>
      <c r="L234" s="608"/>
      <c r="M234" s="608"/>
      <c r="O234" s="188"/>
      <c r="P234" s="600"/>
    </row>
    <row r="235" spans="1:16" s="132" customFormat="1" ht="26.25" customHeight="1">
      <c r="A235" s="108"/>
      <c r="B235" s="90"/>
      <c r="C235" s="89"/>
      <c r="D235" s="30"/>
      <c r="E235" s="50" t="s">
        <v>314</v>
      </c>
      <c r="F235" s="27" t="s">
        <v>12</v>
      </c>
      <c r="G235" s="110">
        <v>10</v>
      </c>
      <c r="H235" s="79">
        <f>+H244</f>
        <v>4000</v>
      </c>
      <c r="I235" s="79">
        <f t="shared" si="26"/>
        <v>40000</v>
      </c>
      <c r="J235" s="209"/>
      <c r="K235" s="188"/>
      <c r="L235" s="608"/>
      <c r="M235" s="608"/>
      <c r="O235" s="188"/>
      <c r="P235" s="600"/>
    </row>
    <row r="236" spans="1:16" s="132" customFormat="1" ht="18.75" customHeight="1">
      <c r="A236" s="108"/>
      <c r="B236" s="90"/>
      <c r="C236" s="89"/>
      <c r="D236" s="30"/>
      <c r="E236" s="50" t="s">
        <v>62</v>
      </c>
      <c r="F236" s="27" t="s">
        <v>12</v>
      </c>
      <c r="G236" s="6">
        <v>5</v>
      </c>
      <c r="H236" s="40">
        <f>+H63</f>
        <v>4000</v>
      </c>
      <c r="I236" s="79">
        <f t="shared" si="26"/>
        <v>20000</v>
      </c>
      <c r="J236" s="209"/>
      <c r="K236" s="188"/>
      <c r="L236" s="608"/>
      <c r="M236" s="608"/>
      <c r="O236" s="188"/>
      <c r="P236" s="600"/>
    </row>
    <row r="237" spans="1:16" s="132" customFormat="1" ht="18.75" customHeight="1">
      <c r="A237" s="108"/>
      <c r="B237" s="90"/>
      <c r="C237" s="89"/>
      <c r="D237" s="30"/>
      <c r="E237" s="52" t="s">
        <v>77</v>
      </c>
      <c r="F237" s="23" t="s">
        <v>8</v>
      </c>
      <c r="G237" s="245">
        <v>1</v>
      </c>
      <c r="H237" s="47">
        <f>+H245</f>
        <v>5000</v>
      </c>
      <c r="I237" s="47">
        <f t="shared" si="26"/>
        <v>5000</v>
      </c>
      <c r="J237" s="209"/>
      <c r="K237" s="188"/>
      <c r="L237" s="608"/>
      <c r="M237" s="608"/>
      <c r="O237" s="188"/>
      <c r="P237" s="600"/>
    </row>
    <row r="238" spans="1:16" s="132" customFormat="1" ht="26.25" customHeight="1">
      <c r="A238" s="72" t="s">
        <v>263</v>
      </c>
      <c r="B238" s="289" t="s">
        <v>271</v>
      </c>
      <c r="C238" s="78" t="s">
        <v>12</v>
      </c>
      <c r="D238" s="120">
        <v>7</v>
      </c>
      <c r="E238" s="104"/>
      <c r="F238" s="21"/>
      <c r="G238" s="109"/>
      <c r="H238" s="118"/>
      <c r="I238" s="118"/>
      <c r="J238" s="209"/>
      <c r="K238" s="188"/>
      <c r="L238" s="608"/>
      <c r="M238" s="608"/>
      <c r="O238" s="188"/>
      <c r="P238" s="600"/>
    </row>
    <row r="239" spans="1:16" s="132" customFormat="1" ht="18.75" customHeight="1">
      <c r="A239" s="106"/>
      <c r="B239" s="90"/>
      <c r="C239" s="89"/>
      <c r="D239" s="30"/>
      <c r="E239" s="39" t="s">
        <v>106</v>
      </c>
      <c r="F239" s="27" t="s">
        <v>23</v>
      </c>
      <c r="G239" s="110">
        <v>18</v>
      </c>
      <c r="H239" s="79">
        <f>H248</f>
        <v>23000</v>
      </c>
      <c r="I239" s="79">
        <f>G239*H239</f>
        <v>414000</v>
      </c>
      <c r="J239" s="209"/>
      <c r="K239" s="188"/>
      <c r="L239" s="608"/>
      <c r="M239" s="608"/>
      <c r="O239" s="188"/>
      <c r="P239" s="600"/>
    </row>
    <row r="240" spans="1:16" s="132" customFormat="1" ht="18.75" customHeight="1">
      <c r="A240" s="106"/>
      <c r="B240" s="90"/>
      <c r="C240" s="89"/>
      <c r="D240" s="30"/>
      <c r="E240" s="39" t="s">
        <v>42</v>
      </c>
      <c r="F240" s="27" t="s">
        <v>2</v>
      </c>
      <c r="G240" s="246">
        <v>2</v>
      </c>
      <c r="H240" s="79">
        <f>H249</f>
        <v>8000</v>
      </c>
      <c r="I240" s="79">
        <f t="shared" ref="I240:I245" si="27">G240*H240</f>
        <v>16000</v>
      </c>
      <c r="J240" s="209"/>
      <c r="K240" s="188"/>
      <c r="L240" s="608"/>
      <c r="M240" s="608"/>
      <c r="O240" s="188"/>
      <c r="P240" s="600"/>
    </row>
    <row r="241" spans="1:16" s="132" customFormat="1" ht="18.75" customHeight="1">
      <c r="A241" s="106"/>
      <c r="B241" s="90"/>
      <c r="C241" s="89"/>
      <c r="D241" s="30"/>
      <c r="E241" s="39" t="s">
        <v>348</v>
      </c>
      <c r="F241" s="27" t="s">
        <v>2</v>
      </c>
      <c r="G241" s="246">
        <v>2.5</v>
      </c>
      <c r="H241" s="79">
        <f>H250</f>
        <v>40000</v>
      </c>
      <c r="I241" s="79">
        <f t="shared" si="27"/>
        <v>100000</v>
      </c>
      <c r="J241" s="209"/>
      <c r="K241" s="188"/>
      <c r="L241" s="608"/>
      <c r="M241" s="608"/>
      <c r="O241" s="188"/>
      <c r="P241" s="600"/>
    </row>
    <row r="242" spans="1:16" s="132" customFormat="1" ht="18" customHeight="1">
      <c r="A242" s="106"/>
      <c r="B242" s="90"/>
      <c r="C242" s="89"/>
      <c r="D242" s="30"/>
      <c r="E242" s="55" t="s">
        <v>278</v>
      </c>
      <c r="F242" s="27" t="s">
        <v>37</v>
      </c>
      <c r="G242" s="110">
        <v>28</v>
      </c>
      <c r="H242" s="79">
        <f>H251</f>
        <v>7000</v>
      </c>
      <c r="I242" s="79">
        <f t="shared" si="27"/>
        <v>196000</v>
      </c>
      <c r="J242" s="209"/>
      <c r="K242" s="188"/>
      <c r="L242" s="608"/>
      <c r="M242" s="608"/>
      <c r="O242" s="188"/>
      <c r="P242" s="600"/>
    </row>
    <row r="243" spans="1:16" s="132" customFormat="1" ht="18" customHeight="1">
      <c r="A243" s="106"/>
      <c r="B243" s="90"/>
      <c r="C243" s="89"/>
      <c r="D243" s="30"/>
      <c r="E243" s="55" t="s">
        <v>45</v>
      </c>
      <c r="F243" s="27" t="s">
        <v>8</v>
      </c>
      <c r="G243" s="110">
        <v>2</v>
      </c>
      <c r="H243" s="79">
        <f>H253</f>
        <v>5000</v>
      </c>
      <c r="I243" s="79">
        <f t="shared" si="27"/>
        <v>10000</v>
      </c>
      <c r="J243" s="209"/>
      <c r="K243" s="188"/>
      <c r="L243" s="608"/>
      <c r="M243" s="608"/>
      <c r="O243" s="188"/>
      <c r="P243" s="600"/>
    </row>
    <row r="244" spans="1:16" s="132" customFormat="1" ht="26.25" customHeight="1">
      <c r="A244" s="106"/>
      <c r="B244" s="90"/>
      <c r="C244" s="89"/>
      <c r="D244" s="30"/>
      <c r="E244" s="50" t="s">
        <v>314</v>
      </c>
      <c r="F244" s="27" t="s">
        <v>12</v>
      </c>
      <c r="G244" s="110">
        <v>21</v>
      </c>
      <c r="H244" s="79">
        <f>H254</f>
        <v>4000</v>
      </c>
      <c r="I244" s="79">
        <f t="shared" si="27"/>
        <v>84000</v>
      </c>
      <c r="J244" s="209"/>
      <c r="K244" s="188"/>
      <c r="L244" s="608"/>
      <c r="M244" s="608"/>
      <c r="O244" s="188"/>
      <c r="P244" s="600"/>
    </row>
    <row r="245" spans="1:16" s="132" customFormat="1" ht="18.75" customHeight="1">
      <c r="A245" s="74"/>
      <c r="B245" s="75"/>
      <c r="C245" s="93"/>
      <c r="D245" s="31"/>
      <c r="E245" s="52" t="s">
        <v>77</v>
      </c>
      <c r="F245" s="23" t="s">
        <v>8</v>
      </c>
      <c r="G245" s="245">
        <v>2</v>
      </c>
      <c r="H245" s="47">
        <f>H257</f>
        <v>5000</v>
      </c>
      <c r="I245" s="47">
        <f t="shared" si="27"/>
        <v>10000</v>
      </c>
      <c r="J245" s="209"/>
      <c r="K245" s="188"/>
      <c r="L245" s="608"/>
      <c r="M245" s="608"/>
      <c r="O245" s="188"/>
      <c r="P245" s="600"/>
    </row>
    <row r="246" spans="1:16" s="132" customFormat="1" ht="18.75" customHeight="1">
      <c r="A246" s="585"/>
      <c r="B246" s="586"/>
      <c r="C246" s="587"/>
      <c r="D246" s="288"/>
      <c r="E246" s="593"/>
      <c r="F246" s="569"/>
      <c r="G246" s="594"/>
      <c r="H246" s="595"/>
      <c r="I246" s="595"/>
      <c r="J246" s="209"/>
      <c r="K246" s="188"/>
      <c r="L246" s="608"/>
      <c r="M246" s="608"/>
      <c r="O246" s="188"/>
      <c r="P246" s="600"/>
    </row>
    <row r="247" spans="1:16" s="132" customFormat="1" ht="18" customHeight="1">
      <c r="A247" s="77" t="s">
        <v>273</v>
      </c>
      <c r="B247" s="289" t="s">
        <v>272</v>
      </c>
      <c r="C247" s="78" t="s">
        <v>129</v>
      </c>
      <c r="D247" s="120">
        <v>1</v>
      </c>
      <c r="E247" s="104"/>
      <c r="F247" s="21"/>
      <c r="G247" s="109"/>
      <c r="H247" s="118"/>
      <c r="I247" s="118"/>
      <c r="J247" s="209"/>
      <c r="K247" s="188"/>
      <c r="L247" s="608"/>
      <c r="M247" s="608"/>
      <c r="O247" s="188"/>
      <c r="P247" s="600"/>
    </row>
    <row r="248" spans="1:16" s="132" customFormat="1" ht="18" customHeight="1">
      <c r="A248" s="108"/>
      <c r="B248" s="90"/>
      <c r="C248" s="89"/>
      <c r="D248" s="30"/>
      <c r="E248" s="39" t="s">
        <v>106</v>
      </c>
      <c r="F248" s="27" t="s">
        <v>23</v>
      </c>
      <c r="G248" s="110">
        <v>22</v>
      </c>
      <c r="H248" s="79">
        <f>H19</f>
        <v>23000</v>
      </c>
      <c r="I248" s="201">
        <f>G248*H248</f>
        <v>506000</v>
      </c>
      <c r="J248" s="209"/>
      <c r="K248" s="188"/>
      <c r="L248" s="608"/>
      <c r="M248" s="608"/>
      <c r="O248" s="188"/>
      <c r="P248" s="600"/>
    </row>
    <row r="249" spans="1:16" s="132" customFormat="1" ht="18" customHeight="1">
      <c r="A249" s="108"/>
      <c r="B249" s="90"/>
      <c r="C249" s="89"/>
      <c r="D249" s="30"/>
      <c r="E249" s="39" t="s">
        <v>42</v>
      </c>
      <c r="F249" s="27" t="s">
        <v>2</v>
      </c>
      <c r="G249" s="110">
        <v>2</v>
      </c>
      <c r="H249" s="79">
        <f>H20</f>
        <v>8000</v>
      </c>
      <c r="I249" s="201">
        <f t="shared" ref="I249:I260" si="28">G249*H249</f>
        <v>16000</v>
      </c>
      <c r="J249" s="209"/>
      <c r="K249" s="188"/>
      <c r="L249" s="608"/>
      <c r="M249" s="608"/>
      <c r="O249" s="188"/>
      <c r="P249" s="600"/>
    </row>
    <row r="250" spans="1:16" s="132" customFormat="1" ht="18" customHeight="1">
      <c r="A250" s="108"/>
      <c r="B250" s="90"/>
      <c r="C250" s="89"/>
      <c r="D250" s="30"/>
      <c r="E250" s="39" t="s">
        <v>348</v>
      </c>
      <c r="F250" s="27" t="s">
        <v>2</v>
      </c>
      <c r="G250" s="110">
        <v>3</v>
      </c>
      <c r="H250" s="79">
        <f>H21</f>
        <v>40000</v>
      </c>
      <c r="I250" s="201">
        <f t="shared" si="28"/>
        <v>120000</v>
      </c>
      <c r="J250" s="209"/>
      <c r="K250" s="188"/>
      <c r="L250" s="608"/>
      <c r="M250" s="608"/>
      <c r="O250" s="188"/>
      <c r="P250" s="600"/>
    </row>
    <row r="251" spans="1:16" s="132" customFormat="1" ht="18" customHeight="1">
      <c r="A251" s="108"/>
      <c r="B251" s="90"/>
      <c r="C251" s="89"/>
      <c r="D251" s="30"/>
      <c r="E251" s="55" t="s">
        <v>278</v>
      </c>
      <c r="F251" s="27" t="s">
        <v>37</v>
      </c>
      <c r="G251" s="706">
        <v>13</v>
      </c>
      <c r="H251" s="79">
        <f>H34</f>
        <v>7000</v>
      </c>
      <c r="I251" s="201">
        <f t="shared" si="28"/>
        <v>91000</v>
      </c>
      <c r="J251" s="209"/>
      <c r="K251" s="188"/>
      <c r="L251" s="608"/>
      <c r="M251" s="608"/>
      <c r="O251" s="188"/>
      <c r="P251" s="600"/>
    </row>
    <row r="252" spans="1:16" s="132" customFormat="1" ht="18" customHeight="1">
      <c r="A252" s="108"/>
      <c r="B252" s="90"/>
      <c r="C252" s="89"/>
      <c r="D252" s="30"/>
      <c r="E252" s="55" t="s">
        <v>333</v>
      </c>
      <c r="F252" s="27" t="s">
        <v>37</v>
      </c>
      <c r="G252" s="706">
        <v>32</v>
      </c>
      <c r="H252" s="79">
        <f>H36</f>
        <v>11300</v>
      </c>
      <c r="I252" s="201">
        <f t="shared" si="28"/>
        <v>361600</v>
      </c>
      <c r="J252" s="209"/>
      <c r="K252" s="188"/>
      <c r="L252" s="608"/>
      <c r="M252" s="608"/>
      <c r="O252" s="188"/>
      <c r="P252" s="600"/>
    </row>
    <row r="253" spans="1:16" s="132" customFormat="1" ht="18" customHeight="1">
      <c r="A253" s="108"/>
      <c r="B253" s="90"/>
      <c r="C253" s="89"/>
      <c r="D253" s="30"/>
      <c r="E253" s="55" t="s">
        <v>45</v>
      </c>
      <c r="F253" s="27" t="s">
        <v>8</v>
      </c>
      <c r="G253" s="110">
        <v>3</v>
      </c>
      <c r="H253" s="79">
        <f>H40</f>
        <v>5000</v>
      </c>
      <c r="I253" s="201">
        <f t="shared" si="28"/>
        <v>15000</v>
      </c>
      <c r="J253" s="209"/>
      <c r="K253" s="188"/>
      <c r="L253" s="608"/>
      <c r="M253" s="608"/>
      <c r="O253" s="188"/>
      <c r="P253" s="600"/>
    </row>
    <row r="254" spans="1:16" s="132" customFormat="1" ht="26.25" customHeight="1">
      <c r="A254" s="108"/>
      <c r="B254" s="90"/>
      <c r="C254" s="89"/>
      <c r="D254" s="30"/>
      <c r="E254" s="50" t="s">
        <v>314</v>
      </c>
      <c r="F254" s="27" t="s">
        <v>12</v>
      </c>
      <c r="G254" s="110">
        <v>66</v>
      </c>
      <c r="H254" s="79">
        <f>H62</f>
        <v>4000</v>
      </c>
      <c r="I254" s="201">
        <f t="shared" si="28"/>
        <v>264000</v>
      </c>
      <c r="J254" s="209"/>
      <c r="K254" s="188"/>
      <c r="L254" s="608"/>
      <c r="M254" s="608"/>
      <c r="O254" s="188"/>
      <c r="P254" s="600"/>
    </row>
    <row r="255" spans="1:16" s="132" customFormat="1" ht="18" customHeight="1">
      <c r="A255" s="108"/>
      <c r="B255" s="90"/>
      <c r="C255" s="89"/>
      <c r="D255" s="30"/>
      <c r="E255" s="50" t="s">
        <v>62</v>
      </c>
      <c r="F255" s="27" t="s">
        <v>12</v>
      </c>
      <c r="G255" s="110">
        <v>13</v>
      </c>
      <c r="H255" s="79">
        <f>H63</f>
        <v>4000</v>
      </c>
      <c r="I255" s="201">
        <f t="shared" si="28"/>
        <v>52000</v>
      </c>
      <c r="J255" s="209"/>
      <c r="K255" s="188"/>
      <c r="L255" s="608"/>
      <c r="M255" s="608"/>
      <c r="O255" s="188"/>
      <c r="P255" s="600"/>
    </row>
    <row r="256" spans="1:16" s="132" customFormat="1" ht="18" customHeight="1">
      <c r="A256" s="108"/>
      <c r="B256" s="90"/>
      <c r="C256" s="89"/>
      <c r="D256" s="30"/>
      <c r="E256" s="50" t="s">
        <v>96</v>
      </c>
      <c r="F256" s="27" t="s">
        <v>12</v>
      </c>
      <c r="G256" s="110">
        <v>6</v>
      </c>
      <c r="H256" s="79">
        <f>H64</f>
        <v>3500</v>
      </c>
      <c r="I256" s="201">
        <f t="shared" si="28"/>
        <v>21000</v>
      </c>
      <c r="J256" s="209"/>
      <c r="K256" s="188"/>
      <c r="L256" s="608"/>
      <c r="M256" s="608"/>
      <c r="O256" s="188"/>
      <c r="P256" s="600"/>
    </row>
    <row r="257" spans="1:16" s="132" customFormat="1" ht="18" customHeight="1">
      <c r="A257" s="108"/>
      <c r="B257" s="90"/>
      <c r="C257" s="89"/>
      <c r="D257" s="30"/>
      <c r="E257" s="51" t="s">
        <v>77</v>
      </c>
      <c r="F257" s="27" t="s">
        <v>8</v>
      </c>
      <c r="G257" s="110">
        <v>1.5</v>
      </c>
      <c r="H257" s="79">
        <f>H65</f>
        <v>5000</v>
      </c>
      <c r="I257" s="201">
        <f t="shared" si="28"/>
        <v>7500</v>
      </c>
      <c r="J257" s="209"/>
      <c r="K257" s="188"/>
      <c r="L257" s="608"/>
      <c r="M257" s="608"/>
      <c r="O257" s="188"/>
      <c r="P257" s="600"/>
    </row>
    <row r="258" spans="1:16" s="132" customFormat="1" ht="18" customHeight="1">
      <c r="A258" s="108"/>
      <c r="B258" s="90"/>
      <c r="C258" s="89"/>
      <c r="D258" s="30"/>
      <c r="E258" s="51" t="s">
        <v>79</v>
      </c>
      <c r="F258" s="27" t="s">
        <v>8</v>
      </c>
      <c r="G258" s="110">
        <v>2</v>
      </c>
      <c r="H258" s="79">
        <f>H117</f>
        <v>37500</v>
      </c>
      <c r="I258" s="201">
        <f t="shared" si="28"/>
        <v>75000</v>
      </c>
      <c r="J258" s="209"/>
      <c r="K258" s="188"/>
      <c r="L258" s="608"/>
      <c r="M258" s="608"/>
      <c r="O258" s="188"/>
      <c r="P258" s="600"/>
    </row>
    <row r="259" spans="1:16" s="132" customFormat="1" ht="18" customHeight="1">
      <c r="A259" s="108"/>
      <c r="B259" s="90"/>
      <c r="C259" s="89"/>
      <c r="D259" s="30"/>
      <c r="E259" s="51" t="s">
        <v>337</v>
      </c>
      <c r="F259" s="27" t="s">
        <v>8</v>
      </c>
      <c r="G259" s="110">
        <v>500</v>
      </c>
      <c r="H259" s="79">
        <v>400</v>
      </c>
      <c r="I259" s="201">
        <f t="shared" si="28"/>
        <v>200000</v>
      </c>
      <c r="J259" s="209"/>
      <c r="K259" s="188"/>
      <c r="L259" s="608"/>
      <c r="M259" s="608"/>
      <c r="O259" s="188"/>
      <c r="P259" s="600"/>
    </row>
    <row r="260" spans="1:16" s="132" customFormat="1" ht="18" customHeight="1">
      <c r="A260" s="316"/>
      <c r="B260" s="75"/>
      <c r="C260" s="93"/>
      <c r="D260" s="31"/>
      <c r="E260" s="52" t="s">
        <v>338</v>
      </c>
      <c r="F260" s="27" t="s">
        <v>12</v>
      </c>
      <c r="G260" s="110">
        <v>2</v>
      </c>
      <c r="H260" s="79">
        <v>5000</v>
      </c>
      <c r="I260" s="201">
        <f t="shared" si="28"/>
        <v>10000</v>
      </c>
      <c r="J260" s="209"/>
      <c r="K260" s="188"/>
      <c r="L260" s="608"/>
      <c r="M260" s="608"/>
      <c r="O260" s="188"/>
      <c r="P260" s="600"/>
    </row>
    <row r="261" spans="1:16" s="132" customFormat="1" ht="29.25" customHeight="1">
      <c r="A261" s="317"/>
      <c r="B261" s="88"/>
      <c r="C261" s="273"/>
      <c r="D261" s="259"/>
      <c r="E261" s="49"/>
      <c r="F261" s="769" t="s">
        <v>132</v>
      </c>
      <c r="G261" s="770"/>
      <c r="H261" s="771"/>
      <c r="I261" s="271">
        <f>SUM(I222:I260)</f>
        <v>3863400</v>
      </c>
      <c r="J261" s="616"/>
      <c r="K261" s="188"/>
      <c r="L261" s="608"/>
      <c r="M261" s="608"/>
      <c r="O261" s="188"/>
      <c r="P261" s="600"/>
    </row>
    <row r="262" spans="1:16" ht="15" customHeight="1">
      <c r="A262" s="772" t="s">
        <v>252</v>
      </c>
      <c r="B262" s="772"/>
      <c r="C262" s="4"/>
      <c r="D262" s="259"/>
      <c r="E262" s="63"/>
      <c r="F262" s="65"/>
      <c r="G262" s="66"/>
      <c r="H262" s="83"/>
      <c r="I262" s="83"/>
      <c r="J262" s="83"/>
    </row>
    <row r="263" spans="1:16" ht="15" customHeight="1">
      <c r="A263" s="340"/>
      <c r="B263" s="340"/>
      <c r="C263" s="4"/>
      <c r="D263" s="259"/>
      <c r="E263" s="63"/>
      <c r="F263" s="65"/>
      <c r="G263" s="66"/>
      <c r="H263" s="83"/>
      <c r="I263" s="83"/>
      <c r="J263" s="83"/>
    </row>
    <row r="264" spans="1:16" s="3" customFormat="1" ht="18" customHeight="1">
      <c r="A264" s="20" t="s">
        <v>30</v>
      </c>
      <c r="B264" s="20" t="s">
        <v>31</v>
      </c>
      <c r="C264" s="20" t="s">
        <v>12</v>
      </c>
      <c r="D264" s="20" t="s">
        <v>32</v>
      </c>
      <c r="E264" s="20" t="s">
        <v>34</v>
      </c>
      <c r="F264" s="20" t="s">
        <v>12</v>
      </c>
      <c r="G264" s="36" t="s">
        <v>32</v>
      </c>
      <c r="H264" s="37" t="s">
        <v>40</v>
      </c>
      <c r="I264" s="37" t="s">
        <v>33</v>
      </c>
      <c r="J264" s="613"/>
      <c r="K264" s="187"/>
      <c r="L264" s="607"/>
      <c r="M264" s="607"/>
      <c r="N264" s="132"/>
      <c r="O264" s="187"/>
      <c r="P264" s="599"/>
    </row>
    <row r="265" spans="1:16" ht="27" customHeight="1">
      <c r="A265" s="72" t="s">
        <v>264</v>
      </c>
      <c r="B265" s="289" t="s">
        <v>257</v>
      </c>
      <c r="C265" s="84" t="s">
        <v>10</v>
      </c>
      <c r="D265" s="120">
        <v>450</v>
      </c>
      <c r="E265" s="104" t="s">
        <v>343</v>
      </c>
      <c r="F265" s="21" t="s">
        <v>344</v>
      </c>
      <c r="G265" s="73">
        <v>9</v>
      </c>
      <c r="H265" s="38">
        <v>150000</v>
      </c>
      <c r="I265" s="38">
        <f>G265*H265</f>
        <v>1350000</v>
      </c>
      <c r="J265" s="83"/>
    </row>
    <row r="266" spans="1:16" ht="27" customHeight="1">
      <c r="A266" s="72" t="s">
        <v>265</v>
      </c>
      <c r="B266" s="289" t="s">
        <v>258</v>
      </c>
      <c r="C266" s="84" t="s">
        <v>12</v>
      </c>
      <c r="D266" s="120">
        <v>31</v>
      </c>
      <c r="E266" s="104"/>
      <c r="F266" s="21"/>
      <c r="G266" s="73">
        <v>15000</v>
      </c>
      <c r="H266" s="38"/>
      <c r="I266" s="38">
        <f>D266*G266</f>
        <v>465000</v>
      </c>
      <c r="J266" s="83"/>
    </row>
    <row r="267" spans="1:16" s="132" customFormat="1" ht="27.75" customHeight="1">
      <c r="A267" s="72" t="s">
        <v>266</v>
      </c>
      <c r="B267" s="289" t="s">
        <v>259</v>
      </c>
      <c r="C267" s="84" t="s">
        <v>12</v>
      </c>
      <c r="D267" s="119">
        <v>4</v>
      </c>
      <c r="E267" s="101"/>
      <c r="F267" s="67"/>
      <c r="G267" s="181">
        <v>17000</v>
      </c>
      <c r="H267" s="131"/>
      <c r="I267" s="38">
        <f t="shared" ref="I267:I269" si="29">D267*G267</f>
        <v>68000</v>
      </c>
      <c r="J267" s="83"/>
      <c r="K267" s="188"/>
      <c r="L267" s="608"/>
      <c r="M267" s="608"/>
      <c r="O267" s="188"/>
      <c r="P267" s="600"/>
    </row>
    <row r="268" spans="1:16" ht="27" customHeight="1">
      <c r="A268" s="72" t="s">
        <v>267</v>
      </c>
      <c r="B268" s="284" t="s">
        <v>260</v>
      </c>
      <c r="C268" s="84" t="s">
        <v>12</v>
      </c>
      <c r="D268" s="119">
        <v>32</v>
      </c>
      <c r="E268" s="101"/>
      <c r="F268" s="67"/>
      <c r="G268" s="68">
        <v>12500</v>
      </c>
      <c r="H268" s="69"/>
      <c r="I268" s="38">
        <f t="shared" si="29"/>
        <v>400000</v>
      </c>
      <c r="J268" s="83"/>
    </row>
    <row r="269" spans="1:16" s="132" customFormat="1" ht="17.25" customHeight="1">
      <c r="A269" s="102" t="s">
        <v>268</v>
      </c>
      <c r="B269" s="284" t="s">
        <v>25</v>
      </c>
      <c r="C269" s="84" t="s">
        <v>12</v>
      </c>
      <c r="D269" s="31">
        <v>35</v>
      </c>
      <c r="E269" s="53"/>
      <c r="F269" s="27"/>
      <c r="G269" s="110">
        <v>20000</v>
      </c>
      <c r="H269" s="79"/>
      <c r="I269" s="38">
        <f t="shared" si="29"/>
        <v>700000</v>
      </c>
      <c r="J269" s="83"/>
      <c r="K269" s="188"/>
      <c r="L269" s="608"/>
      <c r="M269" s="608"/>
      <c r="O269" s="188"/>
      <c r="P269" s="600"/>
    </row>
    <row r="270" spans="1:16" ht="30" customHeight="1">
      <c r="A270" s="34"/>
      <c r="B270" s="5"/>
      <c r="C270" s="4"/>
      <c r="D270" s="48"/>
      <c r="E270" s="49"/>
      <c r="F270" s="769" t="s">
        <v>131</v>
      </c>
      <c r="G270" s="770"/>
      <c r="H270" s="771"/>
      <c r="I270" s="60">
        <f>SUM(I265:I269)</f>
        <v>2983000</v>
      </c>
      <c r="J270" s="61"/>
    </row>
    <row r="271" spans="1:16" ht="30.75" customHeight="1">
      <c r="F271" s="795" t="s">
        <v>332</v>
      </c>
      <c r="G271" s="796"/>
      <c r="H271" s="797"/>
      <c r="I271" s="685">
        <f>I8+I14+I47+I80+I90+I111+I146+I160+I170+I202+I218+I261+I270</f>
        <v>107629550</v>
      </c>
      <c r="J271" s="686"/>
    </row>
    <row r="276" spans="5:10">
      <c r="H276" s="35" t="s">
        <v>483</v>
      </c>
      <c r="I276" s="35">
        <v>150000000</v>
      </c>
    </row>
    <row r="277" spans="5:10">
      <c r="H277" s="35" t="s">
        <v>34</v>
      </c>
      <c r="I277" s="35">
        <f>+I271</f>
        <v>107629550</v>
      </c>
    </row>
    <row r="278" spans="5:10">
      <c r="H278" s="35" t="s">
        <v>484</v>
      </c>
      <c r="I278" s="35">
        <v>21200000</v>
      </c>
    </row>
    <row r="279" spans="5:10">
      <c r="E279" s="535"/>
      <c r="H279" s="35" t="s">
        <v>485</v>
      </c>
      <c r="I279" s="35">
        <v>6000000</v>
      </c>
    </row>
    <row r="280" spans="5:10">
      <c r="H280" s="35" t="s">
        <v>486</v>
      </c>
      <c r="I280" s="35">
        <v>9000000</v>
      </c>
    </row>
    <row r="281" spans="5:10">
      <c r="H281" s="35" t="s">
        <v>488</v>
      </c>
      <c r="I281" s="35" t="e">
        <f>+#REF!</f>
        <v>#REF!</v>
      </c>
    </row>
    <row r="282" spans="5:10">
      <c r="H282" s="35" t="s">
        <v>489</v>
      </c>
      <c r="I282" s="35" t="e">
        <f>+#REF!</f>
        <v>#REF!</v>
      </c>
    </row>
    <row r="283" spans="5:10">
      <c r="H283" s="35" t="s">
        <v>490</v>
      </c>
      <c r="I283" s="35" t="e">
        <f>+#REF!</f>
        <v>#REF!</v>
      </c>
    </row>
    <row r="284" spans="5:10">
      <c r="H284" s="35" t="s">
        <v>491</v>
      </c>
      <c r="I284" s="35" t="e">
        <f>+#REF!</f>
        <v>#REF!</v>
      </c>
    </row>
    <row r="285" spans="5:10">
      <c r="H285" s="35" t="s">
        <v>492</v>
      </c>
      <c r="I285" s="35" t="e">
        <f>+#REF!</f>
        <v>#REF!</v>
      </c>
    </row>
    <row r="286" spans="5:10">
      <c r="H286" s="35" t="s">
        <v>493</v>
      </c>
      <c r="I286" s="35" t="e">
        <f>+#REF!</f>
        <v>#REF!</v>
      </c>
    </row>
    <row r="288" spans="5:10">
      <c r="I288" s="536" t="e">
        <f>SUM(I277:I286)</f>
        <v>#REF!</v>
      </c>
      <c r="J288" s="536"/>
    </row>
    <row r="289" spans="5:10">
      <c r="H289" s="537" t="s">
        <v>487</v>
      </c>
      <c r="I289" s="537" t="e">
        <f>+I276-I288</f>
        <v>#REF!</v>
      </c>
      <c r="J289" s="537"/>
    </row>
    <row r="290" spans="5:10">
      <c r="H290" s="537"/>
      <c r="I290" s="537"/>
      <c r="J290" s="537"/>
    </row>
    <row r="292" spans="5:10" ht="15.75">
      <c r="E292" s="782" t="s">
        <v>201</v>
      </c>
      <c r="F292" s="782"/>
      <c r="G292" s="782"/>
      <c r="H292" s="782"/>
      <c r="I292" s="782"/>
      <c r="J292" s="624"/>
    </row>
    <row r="294" spans="5:10" ht="18" customHeight="1">
      <c r="E294" s="603" t="s">
        <v>34</v>
      </c>
      <c r="F294" s="138" t="s">
        <v>114</v>
      </c>
      <c r="G294" s="138" t="s">
        <v>32</v>
      </c>
      <c r="H294" s="138" t="s">
        <v>195</v>
      </c>
      <c r="I294" s="603" t="s">
        <v>16</v>
      </c>
      <c r="J294" s="622"/>
    </row>
    <row r="295" spans="5:10" ht="18" customHeight="1">
      <c r="E295" s="182" t="s">
        <v>511</v>
      </c>
      <c r="F295" s="67" t="s">
        <v>23</v>
      </c>
      <c r="G295" s="627">
        <f>G19+G26+G30</f>
        <v>261</v>
      </c>
      <c r="H295" s="195">
        <v>26600</v>
      </c>
      <c r="I295" s="621">
        <f>G295*H295</f>
        <v>6942600</v>
      </c>
      <c r="J295" s="623"/>
    </row>
    <row r="296" spans="5:10" ht="18" customHeight="1">
      <c r="E296" s="182" t="s">
        <v>42</v>
      </c>
      <c r="F296" s="67" t="s">
        <v>2</v>
      </c>
      <c r="G296" s="628">
        <f>G20+G27+G31</f>
        <v>23</v>
      </c>
      <c r="H296" s="195">
        <v>8000</v>
      </c>
      <c r="I296" s="621">
        <f t="shared" ref="I296:I309" si="30">G296*H296</f>
        <v>184000</v>
      </c>
      <c r="J296" s="623"/>
    </row>
    <row r="297" spans="5:10" ht="18" customHeight="1">
      <c r="E297" s="182" t="s">
        <v>43</v>
      </c>
      <c r="F297" s="67" t="s">
        <v>2</v>
      </c>
      <c r="G297" s="628">
        <f>G21+G28+G32</f>
        <v>34</v>
      </c>
      <c r="H297" s="195">
        <v>40000</v>
      </c>
      <c r="I297" s="621">
        <f t="shared" si="30"/>
        <v>1360000</v>
      </c>
      <c r="J297" s="623"/>
    </row>
    <row r="298" spans="5:10" ht="18" customHeight="1">
      <c r="E298" s="182" t="s">
        <v>38</v>
      </c>
      <c r="F298" s="67" t="s">
        <v>2</v>
      </c>
      <c r="G298" s="628">
        <f>G23</f>
        <v>20.504000000000001</v>
      </c>
      <c r="H298" s="195">
        <v>50000</v>
      </c>
      <c r="I298" s="621">
        <f t="shared" si="30"/>
        <v>1025200.0000000001</v>
      </c>
      <c r="J298" s="623"/>
    </row>
    <row r="299" spans="5:10" ht="18" customHeight="1">
      <c r="E299" s="182" t="s">
        <v>35</v>
      </c>
      <c r="F299" s="67" t="s">
        <v>37</v>
      </c>
      <c r="G299" s="629">
        <f>G34</f>
        <v>200</v>
      </c>
      <c r="H299" s="195">
        <v>7000</v>
      </c>
      <c r="I299" s="621">
        <f t="shared" si="30"/>
        <v>1400000</v>
      </c>
      <c r="J299" s="623"/>
    </row>
    <row r="300" spans="5:10" ht="18" customHeight="1">
      <c r="E300" s="182" t="s">
        <v>36</v>
      </c>
      <c r="F300" s="67" t="s">
        <v>37</v>
      </c>
      <c r="G300" s="629">
        <f>G36</f>
        <v>15</v>
      </c>
      <c r="H300" s="195">
        <v>11300</v>
      </c>
      <c r="I300" s="621">
        <f t="shared" si="30"/>
        <v>169500</v>
      </c>
      <c r="J300" s="623"/>
    </row>
    <row r="301" spans="5:10" ht="18" customHeight="1">
      <c r="E301" s="182" t="s">
        <v>46</v>
      </c>
      <c r="F301" s="67" t="s">
        <v>37</v>
      </c>
      <c r="G301" s="629">
        <f>G37</f>
        <v>70</v>
      </c>
      <c r="H301" s="195">
        <v>17300</v>
      </c>
      <c r="I301" s="621">
        <f t="shared" si="30"/>
        <v>1211000</v>
      </c>
      <c r="J301" s="623"/>
    </row>
    <row r="302" spans="5:10" ht="18" customHeight="1">
      <c r="E302" s="182" t="s">
        <v>47</v>
      </c>
      <c r="F302" s="67" t="s">
        <v>37</v>
      </c>
      <c r="G302" s="629">
        <f>G38</f>
        <v>39</v>
      </c>
      <c r="H302" s="195">
        <v>25200</v>
      </c>
      <c r="I302" s="621">
        <f t="shared" si="30"/>
        <v>982800</v>
      </c>
      <c r="J302" s="623"/>
    </row>
    <row r="303" spans="5:10" ht="18" customHeight="1">
      <c r="E303" s="182" t="s">
        <v>509</v>
      </c>
      <c r="F303" s="67" t="s">
        <v>37</v>
      </c>
      <c r="G303" s="629">
        <f>G39</f>
        <v>13</v>
      </c>
      <c r="H303" s="195">
        <v>58500</v>
      </c>
      <c r="I303" s="621">
        <f t="shared" si="30"/>
        <v>760500</v>
      </c>
      <c r="J303" s="623"/>
    </row>
    <row r="304" spans="5:10" ht="18" customHeight="1">
      <c r="E304" s="182" t="s">
        <v>45</v>
      </c>
      <c r="F304" s="67" t="s">
        <v>8</v>
      </c>
      <c r="G304" s="629">
        <f>G40</f>
        <v>35</v>
      </c>
      <c r="H304" s="195">
        <v>5000</v>
      </c>
      <c r="I304" s="621">
        <f t="shared" si="30"/>
        <v>175000</v>
      </c>
      <c r="J304" s="623"/>
    </row>
    <row r="305" spans="2:10" ht="24.75" customHeight="1">
      <c r="B305" s="630"/>
      <c r="E305" s="631" t="s">
        <v>314</v>
      </c>
      <c r="F305" s="67" t="s">
        <v>12</v>
      </c>
      <c r="G305" s="629">
        <f>G42</f>
        <v>250</v>
      </c>
      <c r="H305" s="195">
        <v>4000</v>
      </c>
      <c r="I305" s="626">
        <f t="shared" si="30"/>
        <v>1000000</v>
      </c>
      <c r="J305" s="625"/>
    </row>
    <row r="306" spans="2:10" ht="18" customHeight="1">
      <c r="B306" s="630"/>
      <c r="E306" s="631" t="s">
        <v>62</v>
      </c>
      <c r="F306" s="67" t="s">
        <v>12</v>
      </c>
      <c r="G306" s="629">
        <f>G43</f>
        <v>150</v>
      </c>
      <c r="H306" s="195">
        <v>4000</v>
      </c>
      <c r="I306" s="626">
        <f t="shared" si="30"/>
        <v>600000</v>
      </c>
      <c r="J306" s="625"/>
    </row>
    <row r="307" spans="2:10" ht="18" customHeight="1">
      <c r="B307" s="630"/>
      <c r="E307" s="631" t="s">
        <v>96</v>
      </c>
      <c r="F307" s="67" t="s">
        <v>12</v>
      </c>
      <c r="G307" s="629">
        <f>G44</f>
        <v>80</v>
      </c>
      <c r="H307" s="195">
        <v>3500</v>
      </c>
      <c r="I307" s="626">
        <f t="shared" si="30"/>
        <v>280000</v>
      </c>
      <c r="J307" s="625"/>
    </row>
    <row r="308" spans="2:10" ht="18" customHeight="1">
      <c r="B308" s="49"/>
      <c r="E308" s="632" t="s">
        <v>315</v>
      </c>
      <c r="F308" s="67" t="s">
        <v>12</v>
      </c>
      <c r="G308" s="629">
        <f>G45</f>
        <v>10</v>
      </c>
      <c r="H308" s="195">
        <v>5000</v>
      </c>
      <c r="I308" s="626">
        <f t="shared" si="30"/>
        <v>50000</v>
      </c>
      <c r="J308" s="625"/>
    </row>
    <row r="309" spans="2:10" ht="18" customHeight="1">
      <c r="E309" s="632" t="s">
        <v>50</v>
      </c>
      <c r="F309" s="67" t="s">
        <v>12</v>
      </c>
      <c r="G309" s="68">
        <f>G46</f>
        <v>5</v>
      </c>
      <c r="H309" s="69">
        <v>5000</v>
      </c>
      <c r="I309" s="626">
        <f t="shared" si="30"/>
        <v>25000</v>
      </c>
    </row>
    <row r="310" spans="2:10" ht="18" customHeight="1">
      <c r="H310" s="633" t="s">
        <v>16</v>
      </c>
      <c r="I310" s="634">
        <f>SUM(I295:I309)</f>
        <v>16165600</v>
      </c>
    </row>
    <row r="340" spans="1:16" s="35" customFormat="1" ht="15.75">
      <c r="A340" s="3"/>
      <c r="B340" s="782" t="s">
        <v>201</v>
      </c>
      <c r="C340" s="782"/>
      <c r="D340" s="782"/>
      <c r="E340" s="782"/>
      <c r="F340" s="782"/>
      <c r="G340" s="782"/>
      <c r="K340" s="6"/>
      <c r="L340" s="606"/>
      <c r="M340" s="606"/>
      <c r="N340" s="133"/>
      <c r="O340" s="6"/>
      <c r="P340" s="123"/>
    </row>
    <row r="341" spans="1:16" s="35" customFormat="1" ht="15.75">
      <c r="A341" s="3"/>
      <c r="B341" s="341"/>
      <c r="C341" s="341"/>
      <c r="D341" s="341"/>
      <c r="E341" s="341"/>
      <c r="F341" s="341"/>
      <c r="G341" s="341"/>
      <c r="K341" s="6"/>
      <c r="L341" s="606"/>
      <c r="M341" s="606"/>
      <c r="N341" s="133"/>
      <c r="O341" s="6"/>
      <c r="P341" s="123"/>
    </row>
    <row r="343" spans="1:16" s="35" customFormat="1" ht="18" customHeight="1">
      <c r="A343" s="3"/>
      <c r="B343" s="342" t="s">
        <v>34</v>
      </c>
      <c r="C343" s="138" t="s">
        <v>114</v>
      </c>
      <c r="D343" s="138" t="s">
        <v>32</v>
      </c>
      <c r="E343" s="138" t="s">
        <v>195</v>
      </c>
      <c r="F343" s="775" t="s">
        <v>16</v>
      </c>
      <c r="G343" s="776"/>
      <c r="K343" s="6"/>
      <c r="L343" s="606"/>
      <c r="M343" s="606"/>
      <c r="N343" s="133"/>
      <c r="O343" s="6"/>
      <c r="P343" s="123"/>
    </row>
    <row r="344" spans="1:16" s="35" customFormat="1" ht="18" customHeight="1">
      <c r="A344" s="3"/>
      <c r="B344" s="182" t="s">
        <v>106</v>
      </c>
      <c r="C344" s="67" t="s">
        <v>23</v>
      </c>
      <c r="D344" s="190"/>
      <c r="E344" s="195">
        <f>+'PRIX MATX'!C7</f>
        <v>26500</v>
      </c>
      <c r="F344" s="773">
        <f>+D344*E344</f>
        <v>0</v>
      </c>
      <c r="G344" s="774"/>
      <c r="K344" s="6"/>
      <c r="L344" s="606"/>
      <c r="M344" s="606"/>
      <c r="N344" s="133"/>
      <c r="O344" s="6"/>
      <c r="P344" s="123"/>
    </row>
    <row r="345" spans="1:16" s="35" customFormat="1" ht="18" customHeight="1">
      <c r="A345" s="3"/>
      <c r="B345" s="182" t="s">
        <v>42</v>
      </c>
      <c r="C345" s="67" t="s">
        <v>2</v>
      </c>
      <c r="D345" s="191"/>
      <c r="E345" s="195">
        <f>+'PRIX MATX'!C9</f>
        <v>15000</v>
      </c>
      <c r="F345" s="773">
        <f t="shared" ref="F345:F391" si="31">+D345*E345</f>
        <v>0</v>
      </c>
      <c r="G345" s="774"/>
      <c r="K345" s="6"/>
      <c r="L345" s="606"/>
      <c r="M345" s="606"/>
      <c r="N345" s="133"/>
      <c r="O345" s="6"/>
      <c r="P345" s="123"/>
    </row>
    <row r="346" spans="1:16" s="35" customFormat="1" ht="18" customHeight="1">
      <c r="A346" s="3"/>
      <c r="B346" s="182" t="s">
        <v>43</v>
      </c>
      <c r="C346" s="67" t="s">
        <v>2</v>
      </c>
      <c r="D346" s="191"/>
      <c r="E346" s="195">
        <f>+'PRIX MATX'!C10</f>
        <v>75000</v>
      </c>
      <c r="F346" s="773">
        <f t="shared" si="31"/>
        <v>0</v>
      </c>
      <c r="G346" s="774"/>
      <c r="K346" s="6"/>
      <c r="L346" s="606"/>
      <c r="M346" s="606"/>
      <c r="N346" s="133"/>
      <c r="O346" s="6"/>
      <c r="P346" s="123"/>
    </row>
    <row r="347" spans="1:16" s="35" customFormat="1" ht="18" customHeight="1">
      <c r="A347" s="3"/>
      <c r="B347" s="182" t="s">
        <v>38</v>
      </c>
      <c r="C347" s="67" t="s">
        <v>2</v>
      </c>
      <c r="D347" s="191"/>
      <c r="E347" s="195">
        <f>+'PRIX MATX'!C11</f>
        <v>50000</v>
      </c>
      <c r="F347" s="773">
        <f t="shared" si="31"/>
        <v>0</v>
      </c>
      <c r="G347" s="774"/>
      <c r="K347" s="6"/>
      <c r="L347" s="606"/>
      <c r="M347" s="606"/>
      <c r="N347" s="133"/>
      <c r="O347" s="6"/>
      <c r="P347" s="123"/>
    </row>
    <row r="348" spans="1:16" s="35" customFormat="1" ht="18" customHeight="1">
      <c r="A348" s="3"/>
      <c r="B348" s="182" t="s">
        <v>202</v>
      </c>
      <c r="C348" s="67" t="s">
        <v>12</v>
      </c>
      <c r="D348" s="198"/>
      <c r="E348" s="195">
        <f>'PRIX MATX'!C5</f>
        <v>85</v>
      </c>
      <c r="F348" s="773">
        <f t="shared" si="31"/>
        <v>0</v>
      </c>
      <c r="G348" s="774"/>
      <c r="K348" s="6"/>
      <c r="L348" s="606"/>
      <c r="M348" s="606"/>
      <c r="N348" s="133"/>
      <c r="O348" s="6"/>
      <c r="P348" s="123"/>
    </row>
    <row r="349" spans="1:16" s="35" customFormat="1" ht="18" customHeight="1">
      <c r="A349" s="3"/>
      <c r="B349" s="182" t="s">
        <v>44</v>
      </c>
      <c r="C349" s="67" t="s">
        <v>12</v>
      </c>
      <c r="D349" s="198"/>
      <c r="E349" s="195">
        <f>'PRIX MATX'!C12</f>
        <v>400</v>
      </c>
      <c r="F349" s="773">
        <f t="shared" si="31"/>
        <v>0</v>
      </c>
      <c r="G349" s="774"/>
      <c r="K349" s="6"/>
      <c r="L349" s="606"/>
      <c r="M349" s="606"/>
      <c r="N349" s="133"/>
      <c r="O349" s="6"/>
      <c r="P349" s="123"/>
    </row>
    <row r="350" spans="1:16" s="35" customFormat="1" ht="18" customHeight="1">
      <c r="A350" s="3"/>
      <c r="B350" s="182" t="s">
        <v>203</v>
      </c>
      <c r="C350" s="67" t="s">
        <v>12</v>
      </c>
      <c r="D350" s="198"/>
      <c r="E350" s="195">
        <v>700</v>
      </c>
      <c r="F350" s="773">
        <f t="shared" si="31"/>
        <v>0</v>
      </c>
      <c r="G350" s="774"/>
      <c r="K350" s="6"/>
      <c r="L350" s="606"/>
      <c r="M350" s="606"/>
      <c r="N350" s="133"/>
      <c r="O350" s="6"/>
      <c r="P350" s="123"/>
    </row>
    <row r="351" spans="1:16" s="35" customFormat="1" ht="18" customHeight="1">
      <c r="A351" s="3"/>
      <c r="B351" s="182" t="s">
        <v>204</v>
      </c>
      <c r="C351" s="67" t="s">
        <v>12</v>
      </c>
      <c r="D351" s="198"/>
      <c r="E351" s="195">
        <v>3000</v>
      </c>
      <c r="F351" s="773">
        <f t="shared" si="31"/>
        <v>0</v>
      </c>
      <c r="G351" s="774"/>
      <c r="K351" s="6"/>
      <c r="L351" s="606"/>
      <c r="M351" s="606"/>
      <c r="N351" s="133"/>
      <c r="O351" s="6"/>
      <c r="P351" s="123"/>
    </row>
    <row r="352" spans="1:16" s="35" customFormat="1" ht="18" customHeight="1">
      <c r="A352" s="3"/>
      <c r="B352" s="182" t="s">
        <v>35</v>
      </c>
      <c r="C352" s="67" t="s">
        <v>37</v>
      </c>
      <c r="D352" s="192"/>
      <c r="E352" s="195">
        <f>+'PRIX MATX'!G5</f>
        <v>7800</v>
      </c>
      <c r="F352" s="773">
        <f t="shared" si="31"/>
        <v>0</v>
      </c>
      <c r="G352" s="774"/>
      <c r="K352" s="6"/>
      <c r="L352" s="606"/>
      <c r="M352" s="606"/>
      <c r="N352" s="133"/>
      <c r="O352" s="6"/>
      <c r="P352" s="123"/>
    </row>
    <row r="353" spans="1:16" s="35" customFormat="1" ht="18" customHeight="1">
      <c r="A353" s="3"/>
      <c r="B353" s="182" t="s">
        <v>36</v>
      </c>
      <c r="C353" s="67" t="s">
        <v>37</v>
      </c>
      <c r="D353" s="192"/>
      <c r="E353" s="195">
        <f>+'PRIX MATX'!G6</f>
        <v>11600</v>
      </c>
      <c r="F353" s="773">
        <f t="shared" si="31"/>
        <v>0</v>
      </c>
      <c r="G353" s="774"/>
      <c r="K353" s="6"/>
      <c r="L353" s="606"/>
      <c r="M353" s="606"/>
      <c r="N353" s="133"/>
      <c r="O353" s="6"/>
      <c r="P353" s="123"/>
    </row>
    <row r="354" spans="1:16" s="35" customFormat="1" ht="18" customHeight="1">
      <c r="A354" s="3"/>
      <c r="B354" s="182" t="s">
        <v>46</v>
      </c>
      <c r="C354" s="67" t="s">
        <v>37</v>
      </c>
      <c r="D354" s="192"/>
      <c r="E354" s="195">
        <f>+'PRIX MATX'!G7</f>
        <v>17600</v>
      </c>
      <c r="F354" s="773">
        <f t="shared" si="31"/>
        <v>0</v>
      </c>
      <c r="G354" s="774"/>
      <c r="K354" s="6"/>
      <c r="L354" s="606"/>
      <c r="M354" s="606"/>
      <c r="N354" s="133"/>
      <c r="O354" s="6"/>
      <c r="P354" s="123"/>
    </row>
    <row r="355" spans="1:16" s="35" customFormat="1" ht="18" customHeight="1">
      <c r="A355" s="3"/>
      <c r="B355" s="182" t="s">
        <v>47</v>
      </c>
      <c r="C355" s="67" t="s">
        <v>37</v>
      </c>
      <c r="D355" s="192"/>
      <c r="E355" s="195">
        <f>+'PRIX MATX'!G8</f>
        <v>25300</v>
      </c>
      <c r="F355" s="773">
        <f t="shared" si="31"/>
        <v>0</v>
      </c>
      <c r="G355" s="774"/>
      <c r="K355" s="6"/>
      <c r="L355" s="606"/>
      <c r="M355" s="606"/>
      <c r="N355" s="133"/>
      <c r="O355" s="6"/>
      <c r="P355" s="123"/>
    </row>
    <row r="356" spans="1:16" s="6" customFormat="1" ht="18" customHeight="1">
      <c r="A356" s="3"/>
      <c r="B356" s="182" t="s">
        <v>45</v>
      </c>
      <c r="C356" s="67" t="s">
        <v>8</v>
      </c>
      <c r="D356" s="192"/>
      <c r="E356" s="195">
        <f>+'PRIX MATX'!G9</f>
        <v>4000</v>
      </c>
      <c r="F356" s="773">
        <f t="shared" si="31"/>
        <v>0</v>
      </c>
      <c r="G356" s="774"/>
      <c r="H356" s="35"/>
      <c r="I356" s="35"/>
      <c r="J356" s="35"/>
      <c r="L356" s="606"/>
      <c r="M356" s="606"/>
      <c r="N356" s="188"/>
      <c r="P356" s="123"/>
    </row>
    <row r="357" spans="1:16" s="6" customFormat="1" ht="18" customHeight="1">
      <c r="A357" s="3"/>
      <c r="B357" s="182" t="s">
        <v>115</v>
      </c>
      <c r="C357" s="67" t="s">
        <v>12</v>
      </c>
      <c r="D357" s="190"/>
      <c r="E357" s="195">
        <f>+'PRIX MATX'!K12</f>
        <v>35000</v>
      </c>
      <c r="F357" s="773">
        <f t="shared" si="31"/>
        <v>0</v>
      </c>
      <c r="G357" s="774"/>
      <c r="H357" s="35"/>
      <c r="I357" s="35"/>
      <c r="J357" s="35"/>
      <c r="L357" s="606"/>
      <c r="M357" s="606"/>
      <c r="N357" s="188"/>
      <c r="P357" s="123"/>
    </row>
    <row r="358" spans="1:16" s="6" customFormat="1" ht="18" customHeight="1">
      <c r="A358" s="3"/>
      <c r="B358" s="183" t="s">
        <v>58</v>
      </c>
      <c r="C358" s="67" t="s">
        <v>12</v>
      </c>
      <c r="D358" s="192"/>
      <c r="E358" s="195">
        <f>+'PRIX MATX'!K6</f>
        <v>4000</v>
      </c>
      <c r="F358" s="773">
        <f t="shared" si="31"/>
        <v>0</v>
      </c>
      <c r="G358" s="774"/>
      <c r="H358" s="35"/>
      <c r="I358" s="35"/>
      <c r="J358" s="35"/>
      <c r="L358" s="606"/>
      <c r="M358" s="606"/>
      <c r="N358" s="188"/>
      <c r="P358" s="123"/>
    </row>
    <row r="359" spans="1:16" s="6" customFormat="1" ht="18" customHeight="1">
      <c r="A359" s="3"/>
      <c r="B359" s="183" t="s">
        <v>62</v>
      </c>
      <c r="C359" s="67" t="s">
        <v>12</v>
      </c>
      <c r="D359" s="192"/>
      <c r="E359" s="195">
        <f>+'PRIX MATX'!K8</f>
        <v>4000</v>
      </c>
      <c r="F359" s="773">
        <f t="shared" si="31"/>
        <v>0</v>
      </c>
      <c r="G359" s="774"/>
      <c r="H359" s="35"/>
      <c r="I359" s="35"/>
      <c r="J359" s="35"/>
      <c r="L359" s="606"/>
      <c r="M359" s="606"/>
      <c r="N359" s="188"/>
      <c r="P359" s="123"/>
    </row>
    <row r="360" spans="1:16" s="6" customFormat="1" ht="18" customHeight="1">
      <c r="A360" s="3"/>
      <c r="B360" s="182" t="s">
        <v>182</v>
      </c>
      <c r="C360" s="67" t="s">
        <v>12</v>
      </c>
      <c r="D360" s="193"/>
      <c r="E360" s="196">
        <f>+'PRIX MATX'!K9</f>
        <v>6000</v>
      </c>
      <c r="F360" s="773">
        <f t="shared" si="31"/>
        <v>0</v>
      </c>
      <c r="G360" s="774"/>
      <c r="H360" s="35"/>
      <c r="I360" s="35"/>
      <c r="J360" s="35"/>
      <c r="L360" s="606"/>
      <c r="M360" s="606"/>
      <c r="N360" s="188"/>
      <c r="P360" s="123"/>
    </row>
    <row r="361" spans="1:16" s="6" customFormat="1" ht="18" customHeight="1">
      <c r="A361" s="3"/>
      <c r="B361" s="39" t="s">
        <v>134</v>
      </c>
      <c r="C361" s="67"/>
      <c r="D361" s="193"/>
      <c r="E361" s="196">
        <f>+'PRIX MATX'!K15</f>
        <v>8500</v>
      </c>
      <c r="F361" s="773">
        <f t="shared" si="31"/>
        <v>0</v>
      </c>
      <c r="G361" s="774"/>
      <c r="H361" s="35"/>
      <c r="I361" s="35"/>
      <c r="J361" s="35"/>
      <c r="L361" s="606"/>
      <c r="M361" s="606"/>
      <c r="N361" s="188"/>
      <c r="P361" s="123"/>
    </row>
    <row r="362" spans="1:16" s="6" customFormat="1" ht="18" customHeight="1">
      <c r="A362" s="3"/>
      <c r="B362" s="183" t="s">
        <v>96</v>
      </c>
      <c r="C362" s="67" t="s">
        <v>12</v>
      </c>
      <c r="D362" s="192"/>
      <c r="E362" s="195">
        <f>+'PRIX MATX'!K10</f>
        <v>3500</v>
      </c>
      <c r="F362" s="773">
        <f t="shared" si="31"/>
        <v>0</v>
      </c>
      <c r="G362" s="774"/>
      <c r="H362" s="35"/>
      <c r="I362" s="35"/>
      <c r="J362" s="35"/>
      <c r="L362" s="606"/>
      <c r="M362" s="606"/>
      <c r="N362" s="188"/>
      <c r="P362" s="123"/>
    </row>
    <row r="363" spans="1:16" s="6" customFormat="1" ht="18" customHeight="1">
      <c r="A363" s="3"/>
      <c r="B363" s="145" t="s">
        <v>184</v>
      </c>
      <c r="C363" s="67" t="s">
        <v>51</v>
      </c>
      <c r="D363" s="192"/>
      <c r="E363" s="195">
        <v>81750</v>
      </c>
      <c r="F363" s="773">
        <f t="shared" si="31"/>
        <v>0</v>
      </c>
      <c r="G363" s="774"/>
      <c r="H363" s="35"/>
      <c r="I363" s="35"/>
      <c r="J363" s="35"/>
      <c r="L363" s="606"/>
      <c r="M363" s="606"/>
      <c r="N363" s="188"/>
      <c r="P363" s="123"/>
    </row>
    <row r="364" spans="1:16" s="6" customFormat="1" ht="18" customHeight="1">
      <c r="A364" s="3"/>
      <c r="B364" s="42" t="s">
        <v>105</v>
      </c>
      <c r="C364" s="67" t="s">
        <v>12</v>
      </c>
      <c r="D364" s="192"/>
      <c r="E364" s="195">
        <f>+'PRIX MATX'!O19</f>
        <v>500</v>
      </c>
      <c r="F364" s="773">
        <f t="shared" si="31"/>
        <v>0</v>
      </c>
      <c r="G364" s="774"/>
      <c r="H364" s="35"/>
      <c r="I364" s="35"/>
      <c r="J364" s="35"/>
      <c r="L364" s="606"/>
      <c r="M364" s="606"/>
      <c r="N364" s="188"/>
      <c r="P364" s="123"/>
    </row>
    <row r="365" spans="1:16" s="6" customFormat="1" ht="18" customHeight="1">
      <c r="A365" s="3"/>
      <c r="B365" s="145" t="s">
        <v>80</v>
      </c>
      <c r="C365" s="67" t="s">
        <v>12</v>
      </c>
      <c r="D365" s="192"/>
      <c r="E365" s="195">
        <f>+'PRIX MATX'!O22</f>
        <v>10000</v>
      </c>
      <c r="F365" s="773">
        <f t="shared" si="31"/>
        <v>0</v>
      </c>
      <c r="G365" s="774"/>
      <c r="H365" s="35"/>
      <c r="L365" s="606"/>
      <c r="M365" s="606"/>
      <c r="N365" s="188"/>
      <c r="P365" s="123"/>
    </row>
    <row r="366" spans="1:16" s="6" customFormat="1" ht="18" customHeight="1">
      <c r="A366" s="3"/>
      <c r="B366" s="145" t="s">
        <v>137</v>
      </c>
      <c r="C366" s="67" t="s">
        <v>12</v>
      </c>
      <c r="D366" s="192"/>
      <c r="E366" s="195">
        <f>+'PRIX MATX'!K7</f>
        <v>8000</v>
      </c>
      <c r="F366" s="773">
        <f t="shared" si="31"/>
        <v>0</v>
      </c>
      <c r="G366" s="774"/>
      <c r="H366" s="35"/>
      <c r="I366" s="35"/>
      <c r="J366" s="35"/>
      <c r="L366" s="606"/>
      <c r="M366" s="606"/>
      <c r="N366" s="188"/>
      <c r="P366" s="123"/>
    </row>
    <row r="367" spans="1:16" s="6" customFormat="1" ht="18" customHeight="1">
      <c r="A367" s="3"/>
      <c r="B367" s="145" t="s">
        <v>112</v>
      </c>
      <c r="C367" s="27" t="s">
        <v>98</v>
      </c>
      <c r="D367" s="192"/>
      <c r="E367" s="195">
        <f>+'PRIX MATX'!K13</f>
        <v>45000</v>
      </c>
      <c r="F367" s="773">
        <f t="shared" si="31"/>
        <v>0</v>
      </c>
      <c r="G367" s="774"/>
      <c r="H367" s="35"/>
      <c r="I367" s="35"/>
      <c r="J367" s="35"/>
      <c r="L367" s="606"/>
      <c r="M367" s="606"/>
      <c r="N367" s="188"/>
      <c r="P367" s="123"/>
    </row>
    <row r="368" spans="1:16" s="6" customFormat="1" ht="18" customHeight="1">
      <c r="A368" s="3"/>
      <c r="B368" s="182" t="s">
        <v>113</v>
      </c>
      <c r="C368" s="67" t="s">
        <v>183</v>
      </c>
      <c r="D368" s="192"/>
      <c r="E368" s="195">
        <f>+'PRIX MATX'!K14</f>
        <v>15000</v>
      </c>
      <c r="F368" s="773">
        <f t="shared" si="31"/>
        <v>0</v>
      </c>
      <c r="G368" s="774"/>
      <c r="H368" s="35"/>
      <c r="I368" s="35"/>
      <c r="J368" s="35"/>
      <c r="L368" s="606"/>
      <c r="M368" s="606"/>
      <c r="N368" s="188"/>
      <c r="P368" s="123"/>
    </row>
    <row r="369" spans="1:16" s="6" customFormat="1" ht="18" customHeight="1">
      <c r="A369" s="3"/>
      <c r="B369" s="145" t="s">
        <v>138</v>
      </c>
      <c r="C369" s="67" t="s">
        <v>12</v>
      </c>
      <c r="D369" s="192"/>
      <c r="E369" s="195">
        <f>+'PRIX MATX'!G23</f>
        <v>25000</v>
      </c>
      <c r="F369" s="773">
        <f t="shared" si="31"/>
        <v>0</v>
      </c>
      <c r="G369" s="774"/>
      <c r="H369" s="35"/>
      <c r="I369" s="35"/>
      <c r="J369" s="35"/>
      <c r="L369" s="606"/>
      <c r="M369" s="606"/>
      <c r="N369" s="188"/>
      <c r="P369" s="123"/>
    </row>
    <row r="370" spans="1:16" s="6" customFormat="1" ht="18" customHeight="1">
      <c r="A370" s="3"/>
      <c r="B370" s="145" t="s">
        <v>99</v>
      </c>
      <c r="C370" s="67" t="s">
        <v>12</v>
      </c>
      <c r="D370" s="192"/>
      <c r="E370" s="195">
        <f>+'PRIX MATX'!G24</f>
        <v>700</v>
      </c>
      <c r="F370" s="773">
        <f t="shared" si="31"/>
        <v>0</v>
      </c>
      <c r="G370" s="774"/>
      <c r="H370" s="35"/>
      <c r="I370" s="35"/>
      <c r="J370" s="35"/>
      <c r="L370" s="606"/>
      <c r="M370" s="606"/>
      <c r="N370" s="188"/>
      <c r="P370" s="123"/>
    </row>
    <row r="371" spans="1:16" s="6" customFormat="1" ht="18" customHeight="1">
      <c r="A371" s="3"/>
      <c r="B371" s="145" t="s">
        <v>139</v>
      </c>
      <c r="C371" s="67" t="s">
        <v>12</v>
      </c>
      <c r="D371" s="192"/>
      <c r="E371" s="195">
        <f>+'PRIX MATX'!G17</f>
        <v>25000</v>
      </c>
      <c r="F371" s="773">
        <f t="shared" si="31"/>
        <v>0</v>
      </c>
      <c r="G371" s="774"/>
      <c r="H371" s="35"/>
      <c r="I371" s="35"/>
      <c r="J371" s="35"/>
      <c r="L371" s="606"/>
      <c r="M371" s="606"/>
      <c r="N371" s="188"/>
      <c r="P371" s="123"/>
    </row>
    <row r="372" spans="1:16" ht="18" customHeight="1">
      <c r="B372" s="145" t="s">
        <v>108</v>
      </c>
      <c r="C372" s="67" t="s">
        <v>12</v>
      </c>
      <c r="D372" s="192"/>
      <c r="E372" s="195">
        <f>'PRIX MATX'!G25</f>
        <v>5000</v>
      </c>
      <c r="F372" s="773">
        <f t="shared" si="31"/>
        <v>0</v>
      </c>
      <c r="G372" s="774"/>
    </row>
    <row r="373" spans="1:16" ht="18" customHeight="1">
      <c r="B373" s="145" t="s">
        <v>109</v>
      </c>
      <c r="C373" s="67" t="s">
        <v>110</v>
      </c>
      <c r="D373" s="192"/>
      <c r="E373" s="195">
        <f>'PRIX MATX'!G26</f>
        <v>7000</v>
      </c>
      <c r="F373" s="773">
        <f t="shared" si="31"/>
        <v>0</v>
      </c>
      <c r="G373" s="774"/>
    </row>
    <row r="374" spans="1:16" ht="18" customHeight="1">
      <c r="B374" s="42" t="s">
        <v>100</v>
      </c>
      <c r="C374" s="23" t="s">
        <v>12</v>
      </c>
      <c r="D374" s="192"/>
      <c r="E374" s="195">
        <f>'PRIX MATX'!G20</f>
        <v>600</v>
      </c>
      <c r="F374" s="773">
        <f t="shared" si="31"/>
        <v>0</v>
      </c>
      <c r="G374" s="774"/>
    </row>
    <row r="375" spans="1:16" ht="18" customHeight="1">
      <c r="B375" s="101" t="s">
        <v>87</v>
      </c>
      <c r="C375" s="27" t="s">
        <v>23</v>
      </c>
      <c r="D375" s="192"/>
      <c r="E375" s="195">
        <f>+'PRIX MATX'!O5</f>
        <v>14000</v>
      </c>
      <c r="F375" s="773">
        <f t="shared" si="31"/>
        <v>0</v>
      </c>
      <c r="G375" s="774"/>
    </row>
    <row r="376" spans="1:16" ht="18" customHeight="1">
      <c r="B376" s="184" t="s">
        <v>328</v>
      </c>
      <c r="C376" s="67" t="s">
        <v>150</v>
      </c>
      <c r="D376" s="192"/>
      <c r="E376" s="195"/>
      <c r="F376" s="773">
        <f t="shared" si="31"/>
        <v>0</v>
      </c>
      <c r="G376" s="774"/>
    </row>
    <row r="377" spans="1:16" ht="18" customHeight="1">
      <c r="B377" s="184" t="s">
        <v>329</v>
      </c>
      <c r="C377" s="67" t="s">
        <v>150</v>
      </c>
      <c r="D377" s="192"/>
      <c r="E377" s="195"/>
      <c r="F377" s="773">
        <f t="shared" si="31"/>
        <v>0</v>
      </c>
      <c r="G377" s="774"/>
    </row>
    <row r="378" spans="1:16" s="132" customFormat="1" ht="18" customHeight="1">
      <c r="A378" s="3"/>
      <c r="B378" s="197" t="s">
        <v>24</v>
      </c>
      <c r="C378" s="67" t="s">
        <v>8</v>
      </c>
      <c r="D378" s="192"/>
      <c r="E378" s="195">
        <f>+'PRIX MATX'!O6</f>
        <v>15000</v>
      </c>
      <c r="F378" s="773">
        <f t="shared" si="31"/>
        <v>0</v>
      </c>
      <c r="G378" s="774"/>
      <c r="H378" s="133"/>
      <c r="I378" s="133"/>
      <c r="J378" s="133"/>
      <c r="K378" s="188"/>
      <c r="L378" s="608"/>
      <c r="M378" s="608"/>
      <c r="O378" s="188"/>
      <c r="P378" s="600"/>
    </row>
    <row r="379" spans="1:16" ht="18" customHeight="1">
      <c r="B379" s="186" t="s">
        <v>89</v>
      </c>
      <c r="C379" s="67" t="s">
        <v>116</v>
      </c>
      <c r="D379" s="192"/>
      <c r="E379" s="195">
        <f>+'PRIX MATX'!O9</f>
        <v>5000</v>
      </c>
      <c r="F379" s="773">
        <f t="shared" si="31"/>
        <v>0</v>
      </c>
      <c r="G379" s="774"/>
    </row>
    <row r="380" spans="1:16" ht="18" customHeight="1">
      <c r="B380" s="184" t="s">
        <v>185</v>
      </c>
      <c r="C380" s="67" t="s">
        <v>12</v>
      </c>
      <c r="D380" s="192"/>
      <c r="E380" s="195">
        <f>+'PRIX MATX'!O11</f>
        <v>5000</v>
      </c>
      <c r="F380" s="773">
        <f t="shared" si="31"/>
        <v>0</v>
      </c>
      <c r="G380" s="774"/>
    </row>
    <row r="381" spans="1:16" ht="18" customHeight="1">
      <c r="B381" s="184" t="s">
        <v>85</v>
      </c>
      <c r="C381" s="67" t="s">
        <v>12</v>
      </c>
      <c r="D381" s="192"/>
      <c r="E381" s="195">
        <f>+'PRIX MATX'!O13</f>
        <v>2500</v>
      </c>
      <c r="F381" s="773">
        <f t="shared" si="31"/>
        <v>0</v>
      </c>
      <c r="G381" s="774"/>
    </row>
    <row r="382" spans="1:16" ht="18" customHeight="1">
      <c r="B382" s="184" t="s">
        <v>86</v>
      </c>
      <c r="C382" s="67" t="s">
        <v>12</v>
      </c>
      <c r="D382" s="192"/>
      <c r="E382" s="195">
        <f>+'PRIX MATX'!O12</f>
        <v>3500</v>
      </c>
      <c r="F382" s="773">
        <f t="shared" si="31"/>
        <v>0</v>
      </c>
      <c r="G382" s="774"/>
    </row>
    <row r="383" spans="1:16" ht="18" customHeight="1">
      <c r="B383" s="101" t="s">
        <v>118</v>
      </c>
      <c r="C383" s="67" t="s">
        <v>1</v>
      </c>
      <c r="D383" s="192"/>
      <c r="E383" s="195">
        <f>'PRIX MATX'!K21</f>
        <v>20000</v>
      </c>
      <c r="F383" s="773">
        <f t="shared" si="31"/>
        <v>0</v>
      </c>
      <c r="G383" s="774"/>
    </row>
    <row r="384" spans="1:16" ht="18" customHeight="1">
      <c r="B384" s="101" t="s">
        <v>101</v>
      </c>
      <c r="C384" s="67" t="s">
        <v>98</v>
      </c>
      <c r="D384" s="192"/>
      <c r="E384" s="195">
        <v>12000</v>
      </c>
      <c r="F384" s="773">
        <f t="shared" si="31"/>
        <v>0</v>
      </c>
      <c r="G384" s="774"/>
    </row>
    <row r="385" spans="1:16" ht="18" customHeight="1">
      <c r="B385" s="101" t="s">
        <v>82</v>
      </c>
      <c r="C385" s="67" t="s">
        <v>83</v>
      </c>
      <c r="D385" s="192"/>
      <c r="E385" s="195">
        <v>2500</v>
      </c>
      <c r="F385" s="773">
        <f t="shared" si="31"/>
        <v>0</v>
      </c>
      <c r="G385" s="774"/>
    </row>
    <row r="386" spans="1:16" ht="18" customHeight="1">
      <c r="B386" s="185" t="s">
        <v>53</v>
      </c>
      <c r="C386" s="67" t="s">
        <v>8</v>
      </c>
      <c r="D386" s="192"/>
      <c r="E386" s="195">
        <f>'PRIX MATX'!O21</f>
        <v>5000</v>
      </c>
      <c r="F386" s="773">
        <f t="shared" si="31"/>
        <v>0</v>
      </c>
      <c r="G386" s="774"/>
    </row>
    <row r="387" spans="1:16" ht="18" customHeight="1">
      <c r="B387" s="145" t="s">
        <v>78</v>
      </c>
      <c r="C387" s="27" t="s">
        <v>8</v>
      </c>
      <c r="D387" s="192"/>
      <c r="E387" s="195">
        <f>'PRIX MATX'!O20</f>
        <v>4000</v>
      </c>
      <c r="F387" s="773">
        <f t="shared" si="31"/>
        <v>0</v>
      </c>
      <c r="G387" s="774"/>
    </row>
    <row r="388" spans="1:16" s="35" customFormat="1" ht="18" customHeight="1">
      <c r="A388" s="3"/>
      <c r="B388" s="185" t="s">
        <v>186</v>
      </c>
      <c r="C388" s="67" t="s">
        <v>8</v>
      </c>
      <c r="D388" s="192"/>
      <c r="E388" s="195">
        <f>E387</f>
        <v>4000</v>
      </c>
      <c r="F388" s="773">
        <f t="shared" si="31"/>
        <v>0</v>
      </c>
      <c r="G388" s="774"/>
      <c r="K388" s="6"/>
      <c r="L388" s="606"/>
      <c r="M388" s="606"/>
      <c r="N388" s="133"/>
      <c r="O388" s="6"/>
      <c r="P388" s="123"/>
    </row>
    <row r="389" spans="1:16" s="35" customFormat="1" ht="18" customHeight="1">
      <c r="A389" s="3"/>
      <c r="B389" s="185" t="s">
        <v>187</v>
      </c>
      <c r="C389" s="67" t="s">
        <v>8</v>
      </c>
      <c r="D389" s="190"/>
      <c r="E389" s="195">
        <f>E387</f>
        <v>4000</v>
      </c>
      <c r="F389" s="773">
        <f t="shared" si="31"/>
        <v>0</v>
      </c>
      <c r="G389" s="774"/>
      <c r="K389" s="6"/>
      <c r="L389" s="606"/>
      <c r="M389" s="606"/>
      <c r="N389" s="133"/>
      <c r="O389" s="6"/>
      <c r="P389" s="123"/>
    </row>
    <row r="390" spans="1:16" s="35" customFormat="1" ht="18" customHeight="1">
      <c r="A390" s="3"/>
      <c r="B390" s="185" t="s">
        <v>189</v>
      </c>
      <c r="C390" s="67" t="s">
        <v>8</v>
      </c>
      <c r="D390" s="190"/>
      <c r="E390" s="195">
        <f>E387</f>
        <v>4000</v>
      </c>
      <c r="F390" s="773">
        <f t="shared" si="31"/>
        <v>0</v>
      </c>
      <c r="G390" s="774"/>
      <c r="K390" s="6"/>
      <c r="L390" s="606"/>
      <c r="M390" s="606"/>
      <c r="N390" s="133"/>
      <c r="O390" s="6"/>
      <c r="P390" s="123"/>
    </row>
    <row r="391" spans="1:16" s="35" customFormat="1" ht="18" customHeight="1">
      <c r="A391" s="3"/>
      <c r="B391" s="185" t="s">
        <v>188</v>
      </c>
      <c r="C391" s="67" t="s">
        <v>8</v>
      </c>
      <c r="D391" s="190"/>
      <c r="E391" s="195">
        <f>E387</f>
        <v>4000</v>
      </c>
      <c r="F391" s="773">
        <f t="shared" si="31"/>
        <v>0</v>
      </c>
      <c r="G391" s="774"/>
      <c r="K391" s="6"/>
      <c r="L391" s="606"/>
      <c r="M391" s="606"/>
      <c r="N391" s="133"/>
      <c r="O391" s="6"/>
      <c r="P391" s="123"/>
    </row>
    <row r="392" spans="1:16" s="35" customFormat="1" ht="22.5" customHeight="1">
      <c r="A392" s="3"/>
      <c r="B392" s="1"/>
      <c r="C392" s="3"/>
      <c r="D392" s="3"/>
      <c r="E392" s="194" t="s">
        <v>64</v>
      </c>
      <c r="F392" s="780">
        <f>SUM(F344:G391)</f>
        <v>0</v>
      </c>
      <c r="G392" s="781"/>
      <c r="K392" s="6"/>
      <c r="L392" s="606"/>
      <c r="M392" s="606"/>
      <c r="N392" s="133"/>
      <c r="O392" s="6"/>
      <c r="P392" s="123"/>
    </row>
    <row r="393" spans="1:16" s="35" customFormat="1" ht="18" customHeight="1">
      <c r="A393" s="3"/>
      <c r="B393" s="1"/>
      <c r="C393" s="3"/>
      <c r="D393" s="3"/>
      <c r="E393" s="3"/>
      <c r="F393" s="3"/>
      <c r="G393" s="6"/>
      <c r="K393" s="6"/>
      <c r="L393" s="606"/>
      <c r="M393" s="606"/>
      <c r="N393" s="133"/>
      <c r="O393" s="6"/>
      <c r="P393" s="123"/>
    </row>
    <row r="394" spans="1:16" s="35" customFormat="1" ht="18" customHeight="1">
      <c r="A394" s="3"/>
      <c r="B394" s="1"/>
      <c r="C394" s="3"/>
      <c r="D394" s="3"/>
      <c r="E394" s="3"/>
      <c r="F394" s="3"/>
      <c r="G394" s="6"/>
      <c r="K394" s="6"/>
      <c r="L394" s="606"/>
      <c r="M394" s="606"/>
      <c r="N394" s="133"/>
      <c r="O394" s="6"/>
      <c r="P394" s="123"/>
    </row>
    <row r="395" spans="1:16" s="35" customFormat="1" ht="18" customHeight="1">
      <c r="A395" s="3"/>
      <c r="B395" s="1"/>
      <c r="C395" s="3"/>
      <c r="D395" s="3"/>
      <c r="E395" s="3"/>
      <c r="F395" s="3"/>
      <c r="G395" s="6"/>
      <c r="K395" s="6"/>
      <c r="L395" s="606"/>
      <c r="M395" s="606"/>
      <c r="N395" s="133"/>
      <c r="O395" s="6"/>
      <c r="P395" s="123"/>
    </row>
    <row r="396" spans="1:16" s="35" customFormat="1" ht="18" customHeight="1">
      <c r="A396" s="3"/>
      <c r="B396" s="1"/>
      <c r="C396" s="3"/>
      <c r="D396" s="3"/>
      <c r="E396" s="3"/>
      <c r="F396" s="3"/>
      <c r="G396" s="6"/>
      <c r="K396" s="6"/>
      <c r="L396" s="606"/>
      <c r="M396" s="606"/>
      <c r="N396" s="133"/>
      <c r="O396" s="6"/>
      <c r="P396" s="123"/>
    </row>
  </sheetData>
  <autoFilter ref="A1:I39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82">
    <mergeCell ref="F392:G392"/>
    <mergeCell ref="F384:G384"/>
    <mergeCell ref="F385:G385"/>
    <mergeCell ref="F386:G386"/>
    <mergeCell ref="F387:G387"/>
    <mergeCell ref="F388:G388"/>
    <mergeCell ref="F389:G389"/>
    <mergeCell ref="F380:G380"/>
    <mergeCell ref="F381:G381"/>
    <mergeCell ref="E292:I292"/>
    <mergeCell ref="F390:G390"/>
    <mergeCell ref="F391:G391"/>
    <mergeCell ref="F383:G383"/>
    <mergeCell ref="F372:G372"/>
    <mergeCell ref="F373:G373"/>
    <mergeCell ref="F374:G374"/>
    <mergeCell ref="F375:G375"/>
    <mergeCell ref="F376:G376"/>
    <mergeCell ref="F382:G382"/>
    <mergeCell ref="F371:G371"/>
    <mergeCell ref="F360:G360"/>
    <mergeCell ref="F361:G361"/>
    <mergeCell ref="F362:G362"/>
    <mergeCell ref="F377:G377"/>
    <mergeCell ref="F378:G378"/>
    <mergeCell ref="F363:G363"/>
    <mergeCell ref="F364:G364"/>
    <mergeCell ref="F365:G365"/>
    <mergeCell ref="F366:G366"/>
    <mergeCell ref="F367:G367"/>
    <mergeCell ref="F379:G379"/>
    <mergeCell ref="F359:G359"/>
    <mergeCell ref="F348:G348"/>
    <mergeCell ref="F349:G349"/>
    <mergeCell ref="F350:G350"/>
    <mergeCell ref="F351:G351"/>
    <mergeCell ref="F352:G352"/>
    <mergeCell ref="F353:G353"/>
    <mergeCell ref="F354:G354"/>
    <mergeCell ref="F355:G355"/>
    <mergeCell ref="F356:G356"/>
    <mergeCell ref="F357:G357"/>
    <mergeCell ref="F358:G358"/>
    <mergeCell ref="F368:G368"/>
    <mergeCell ref="F369:G369"/>
    <mergeCell ref="F370:G370"/>
    <mergeCell ref="F347:G347"/>
    <mergeCell ref="F218:H218"/>
    <mergeCell ref="A219:B219"/>
    <mergeCell ref="F261:H261"/>
    <mergeCell ref="A262:B262"/>
    <mergeCell ref="F270:H270"/>
    <mergeCell ref="F271:H271"/>
    <mergeCell ref="B340:G340"/>
    <mergeCell ref="F343:G343"/>
    <mergeCell ref="F344:G344"/>
    <mergeCell ref="F345:G345"/>
    <mergeCell ref="F346:G346"/>
    <mergeCell ref="A203:B203"/>
    <mergeCell ref="F111:H111"/>
    <mergeCell ref="A112:B112"/>
    <mergeCell ref="F146:H146"/>
    <mergeCell ref="A147:B147"/>
    <mergeCell ref="E147:F147"/>
    <mergeCell ref="F160:H160"/>
    <mergeCell ref="A161:B161"/>
    <mergeCell ref="E161:F161"/>
    <mergeCell ref="F170:H170"/>
    <mergeCell ref="A171:B171"/>
    <mergeCell ref="F202:H202"/>
    <mergeCell ref="A91:B91"/>
    <mergeCell ref="A1:I1"/>
    <mergeCell ref="A2:I2"/>
    <mergeCell ref="A3:I3"/>
    <mergeCell ref="F8:H8"/>
    <mergeCell ref="F14:H14"/>
    <mergeCell ref="A15:D15"/>
    <mergeCell ref="F47:H47"/>
    <mergeCell ref="A48:D48"/>
    <mergeCell ref="F80:H80"/>
    <mergeCell ref="A81:B81"/>
    <mergeCell ref="F90:H90"/>
  </mergeCells>
  <pageMargins left="0.85" right="0.43307086614173229" top="0.27559055118110237" bottom="0.31496062992125984" header="0.27559055118110237" footer="0.31496062992125984"/>
  <pageSetup paperSize="9" scale="80" orientation="landscape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95"/>
  <sheetViews>
    <sheetView topLeftCell="A70" workbookViewId="0">
      <selection activeCell="H86" sqref="H86"/>
    </sheetView>
  </sheetViews>
  <sheetFormatPr baseColWidth="10" defaultRowHeight="12.75"/>
  <cols>
    <col min="1" max="1" width="15.28515625" customWidth="1"/>
    <col min="2" max="2" width="11.42578125" style="213"/>
    <col min="3" max="3" width="12" style="332" bestFit="1" customWidth="1"/>
    <col min="4" max="4" width="14" style="639" customWidth="1"/>
    <col min="5" max="5" width="11.42578125" style="332"/>
  </cols>
  <sheetData>
    <row r="1" spans="1:5">
      <c r="A1" s="857" t="s">
        <v>632</v>
      </c>
      <c r="B1" s="858"/>
      <c r="C1" s="858"/>
      <c r="D1" s="858"/>
      <c r="E1" s="859"/>
    </row>
    <row r="2" spans="1:5">
      <c r="D2" s="639" t="s">
        <v>630</v>
      </c>
    </row>
    <row r="3" spans="1:5">
      <c r="A3" t="s">
        <v>624</v>
      </c>
      <c r="B3" s="213">
        <v>7</v>
      </c>
      <c r="C3" s="332">
        <v>28000</v>
      </c>
      <c r="E3" s="332">
        <f>+B3*C3</f>
        <v>196000</v>
      </c>
    </row>
    <row r="4" spans="1:5">
      <c r="A4" t="s">
        <v>625</v>
      </c>
      <c r="B4" s="213">
        <v>0.51</v>
      </c>
      <c r="C4" s="332">
        <v>40000</v>
      </c>
      <c r="E4" s="332">
        <f t="shared" ref="E4:E5" si="0">+B4*C4</f>
        <v>20400</v>
      </c>
    </row>
    <row r="5" spans="1:5">
      <c r="A5" t="s">
        <v>626</v>
      </c>
      <c r="B5" s="213">
        <v>0.8</v>
      </c>
      <c r="C5" s="332">
        <v>80000</v>
      </c>
      <c r="E5" s="332">
        <f t="shared" si="0"/>
        <v>64000</v>
      </c>
    </row>
    <row r="6" spans="1:5">
      <c r="A6" t="s">
        <v>484</v>
      </c>
      <c r="B6" s="213">
        <v>4</v>
      </c>
      <c r="C6" s="332">
        <v>7000</v>
      </c>
      <c r="D6" s="639">
        <v>0.4</v>
      </c>
      <c r="E6" s="332">
        <f>+B6*C6*D6</f>
        <v>11200</v>
      </c>
    </row>
    <row r="7" spans="1:5">
      <c r="A7" t="s">
        <v>627</v>
      </c>
      <c r="B7" s="213">
        <v>1</v>
      </c>
      <c r="C7" s="332">
        <v>15000</v>
      </c>
      <c r="D7" s="639">
        <v>0.4</v>
      </c>
      <c r="E7" s="332">
        <f t="shared" ref="E7:E9" si="1">+B7*C7*D7</f>
        <v>6000</v>
      </c>
    </row>
    <row r="8" spans="1:5">
      <c r="A8" t="s">
        <v>628</v>
      </c>
      <c r="B8" s="213">
        <v>1</v>
      </c>
      <c r="C8" s="332">
        <v>20000</v>
      </c>
      <c r="D8" s="639">
        <v>0.2</v>
      </c>
      <c r="E8" s="332">
        <f t="shared" si="1"/>
        <v>4000</v>
      </c>
    </row>
    <row r="9" spans="1:5">
      <c r="A9" t="s">
        <v>629</v>
      </c>
      <c r="B9" s="213">
        <v>1</v>
      </c>
      <c r="C9" s="332">
        <v>30000</v>
      </c>
      <c r="D9" s="639">
        <v>0.1</v>
      </c>
      <c r="E9" s="332">
        <f t="shared" si="1"/>
        <v>3000</v>
      </c>
    </row>
    <row r="11" spans="1:5">
      <c r="D11" s="748" t="s">
        <v>16</v>
      </c>
      <c r="E11" s="332">
        <f>SUM(E3:E10)</f>
        <v>304600</v>
      </c>
    </row>
    <row r="12" spans="1:5">
      <c r="A12" s="211" t="s">
        <v>631</v>
      </c>
      <c r="B12" s="213">
        <v>1.35</v>
      </c>
      <c r="E12" s="749">
        <f>+E11*B12</f>
        <v>411210</v>
      </c>
    </row>
    <row r="15" spans="1:5">
      <c r="A15" s="857" t="s">
        <v>633</v>
      </c>
      <c r="B15" s="858"/>
      <c r="C15" s="858"/>
      <c r="D15" s="858"/>
      <c r="E15" s="859"/>
    </row>
    <row r="16" spans="1:5">
      <c r="D16" s="639" t="s">
        <v>630</v>
      </c>
    </row>
    <row r="17" spans="1:5">
      <c r="A17" t="s">
        <v>624</v>
      </c>
      <c r="B17" s="213">
        <v>6</v>
      </c>
      <c r="C17" s="332">
        <v>28000</v>
      </c>
      <c r="E17" s="332">
        <f>+B17*C17</f>
        <v>168000</v>
      </c>
    </row>
    <row r="18" spans="1:5">
      <c r="A18" t="s">
        <v>625</v>
      </c>
      <c r="B18" s="213">
        <v>0.51</v>
      </c>
      <c r="C18" s="332">
        <v>40000</v>
      </c>
      <c r="E18" s="332">
        <f t="shared" ref="E18:E19" si="2">+B18*C18</f>
        <v>20400</v>
      </c>
    </row>
    <row r="19" spans="1:5">
      <c r="A19" t="s">
        <v>626</v>
      </c>
      <c r="B19" s="213">
        <v>0.8</v>
      </c>
      <c r="C19" s="332">
        <v>80000</v>
      </c>
      <c r="E19" s="332">
        <f t="shared" si="2"/>
        <v>64000</v>
      </c>
    </row>
    <row r="20" spans="1:5">
      <c r="A20" t="s">
        <v>484</v>
      </c>
      <c r="B20" s="213">
        <v>4</v>
      </c>
      <c r="C20" s="332">
        <v>7000</v>
      </c>
      <c r="D20" s="639">
        <v>0.4</v>
      </c>
      <c r="E20" s="332">
        <f>+B20*C20*D20</f>
        <v>11200</v>
      </c>
    </row>
    <row r="21" spans="1:5">
      <c r="A21" t="s">
        <v>627</v>
      </c>
      <c r="B21" s="213">
        <v>1</v>
      </c>
      <c r="C21" s="332">
        <v>15000</v>
      </c>
      <c r="D21" s="639">
        <v>0.4</v>
      </c>
      <c r="E21" s="332">
        <f t="shared" ref="E21:E23" si="3">+B21*C21*D21</f>
        <v>6000</v>
      </c>
    </row>
    <row r="22" spans="1:5">
      <c r="A22" t="s">
        <v>628</v>
      </c>
      <c r="B22" s="213">
        <v>1</v>
      </c>
      <c r="C22" s="332">
        <v>20000</v>
      </c>
      <c r="D22" s="639">
        <v>0.2</v>
      </c>
      <c r="E22" s="332">
        <f t="shared" si="3"/>
        <v>4000</v>
      </c>
    </row>
    <row r="23" spans="1:5">
      <c r="A23" t="s">
        <v>629</v>
      </c>
      <c r="B23" s="213">
        <v>1</v>
      </c>
      <c r="C23" s="332">
        <v>30000</v>
      </c>
      <c r="D23" s="639">
        <v>0.1</v>
      </c>
      <c r="E23" s="332">
        <f t="shared" si="3"/>
        <v>3000</v>
      </c>
    </row>
    <row r="25" spans="1:5">
      <c r="D25" s="748" t="s">
        <v>16</v>
      </c>
      <c r="E25" s="332">
        <f>SUM(E17:E24)</f>
        <v>276600</v>
      </c>
    </row>
    <row r="26" spans="1:5">
      <c r="A26" s="211" t="s">
        <v>631</v>
      </c>
      <c r="B26" s="213">
        <v>1.35</v>
      </c>
      <c r="E26" s="749">
        <f>+E25*B26</f>
        <v>373410</v>
      </c>
    </row>
    <row r="29" spans="1:5">
      <c r="A29" s="857" t="s">
        <v>634</v>
      </c>
      <c r="B29" s="858"/>
      <c r="C29" s="858"/>
      <c r="D29" s="858"/>
      <c r="E29" s="859"/>
    </row>
    <row r="30" spans="1:5">
      <c r="D30" s="639" t="s">
        <v>630</v>
      </c>
    </row>
    <row r="31" spans="1:5">
      <c r="A31" t="s">
        <v>624</v>
      </c>
      <c r="B31" s="213">
        <v>3</v>
      </c>
      <c r="C31" s="332">
        <v>28000</v>
      </c>
      <c r="E31" s="332">
        <f>+B31*C31</f>
        <v>84000</v>
      </c>
    </row>
    <row r="32" spans="1:5">
      <c r="A32" t="s">
        <v>625</v>
      </c>
      <c r="B32" s="213">
        <v>0.51</v>
      </c>
      <c r="C32" s="332">
        <v>40000</v>
      </c>
      <c r="E32" s="332">
        <f t="shared" ref="E32:E33" si="4">+B32*C32</f>
        <v>20400</v>
      </c>
    </row>
    <row r="33" spans="1:5">
      <c r="A33" t="s">
        <v>626</v>
      </c>
      <c r="B33" s="213">
        <v>0.8</v>
      </c>
      <c r="C33" s="332">
        <v>80000</v>
      </c>
      <c r="E33" s="332">
        <f t="shared" si="4"/>
        <v>64000</v>
      </c>
    </row>
    <row r="34" spans="1:5">
      <c r="A34" t="s">
        <v>484</v>
      </c>
      <c r="B34" s="213">
        <v>4</v>
      </c>
      <c r="C34" s="332">
        <v>7000</v>
      </c>
      <c r="D34" s="639">
        <v>0.4</v>
      </c>
      <c r="E34" s="332">
        <f>+B34*C34*D34</f>
        <v>11200</v>
      </c>
    </row>
    <row r="35" spans="1:5">
      <c r="A35" t="s">
        <v>627</v>
      </c>
      <c r="B35" s="213">
        <v>1</v>
      </c>
      <c r="C35" s="332">
        <v>15000</v>
      </c>
      <c r="D35" s="639">
        <v>0.4</v>
      </c>
      <c r="E35" s="332">
        <f t="shared" ref="E35:E37" si="5">+B35*C35*D35</f>
        <v>6000</v>
      </c>
    </row>
    <row r="36" spans="1:5">
      <c r="A36" t="s">
        <v>628</v>
      </c>
      <c r="B36" s="213">
        <v>1</v>
      </c>
      <c r="C36" s="332">
        <v>20000</v>
      </c>
      <c r="D36" s="639">
        <v>0.2</v>
      </c>
      <c r="E36" s="332">
        <f t="shared" si="5"/>
        <v>4000</v>
      </c>
    </row>
    <row r="37" spans="1:5">
      <c r="A37" t="s">
        <v>629</v>
      </c>
      <c r="B37" s="213">
        <v>1</v>
      </c>
      <c r="C37" s="332">
        <v>30000</v>
      </c>
      <c r="D37" s="639">
        <v>0.1</v>
      </c>
      <c r="E37" s="332">
        <f t="shared" si="5"/>
        <v>3000</v>
      </c>
    </row>
    <row r="39" spans="1:5">
      <c r="D39" s="748" t="s">
        <v>16</v>
      </c>
      <c r="E39" s="332">
        <f>SUM(E31:E38)</f>
        <v>192600</v>
      </c>
    </row>
    <row r="40" spans="1:5">
      <c r="A40" s="211" t="s">
        <v>631</v>
      </c>
      <c r="B40" s="213">
        <v>1.35</v>
      </c>
      <c r="E40" s="749">
        <f>+E39*B40</f>
        <v>260010.00000000003</v>
      </c>
    </row>
    <row r="43" spans="1:5">
      <c r="A43" s="857" t="s">
        <v>635</v>
      </c>
      <c r="B43" s="858"/>
      <c r="C43" s="858"/>
      <c r="D43" s="858"/>
      <c r="E43" s="859"/>
    </row>
    <row r="44" spans="1:5">
      <c r="D44" s="639" t="s">
        <v>630</v>
      </c>
    </row>
    <row r="45" spans="1:5">
      <c r="A45" t="s">
        <v>624</v>
      </c>
      <c r="B45" s="213">
        <v>2</v>
      </c>
      <c r="C45" s="332">
        <v>28000</v>
      </c>
      <c r="E45" s="332">
        <f>+B45*C45</f>
        <v>56000</v>
      </c>
    </row>
    <row r="46" spans="1:5">
      <c r="A46" t="s">
        <v>625</v>
      </c>
      <c r="B46" s="213">
        <v>0.35</v>
      </c>
      <c r="C46" s="332">
        <v>40000</v>
      </c>
      <c r="E46" s="332">
        <f t="shared" ref="E46:E48" si="6">+B46*C46</f>
        <v>14000</v>
      </c>
    </row>
    <row r="47" spans="1:5">
      <c r="A47" s="212" t="s">
        <v>636</v>
      </c>
      <c r="B47" s="213">
        <v>125</v>
      </c>
      <c r="C47" s="332">
        <v>550</v>
      </c>
      <c r="E47" s="332">
        <f t="shared" si="6"/>
        <v>68750</v>
      </c>
    </row>
    <row r="48" spans="1:5">
      <c r="A48" s="212" t="s">
        <v>641</v>
      </c>
      <c r="B48" s="213">
        <v>0.3</v>
      </c>
      <c r="C48" s="332">
        <v>45000</v>
      </c>
      <c r="E48" s="332">
        <f t="shared" si="6"/>
        <v>13500</v>
      </c>
    </row>
    <row r="49" spans="1:5">
      <c r="A49" t="s">
        <v>484</v>
      </c>
      <c r="B49" s="213">
        <v>2</v>
      </c>
      <c r="C49" s="332">
        <v>7000</v>
      </c>
      <c r="D49" s="639">
        <v>0.4</v>
      </c>
      <c r="E49" s="332">
        <f>+B49*C49*D49</f>
        <v>5600</v>
      </c>
    </row>
    <row r="50" spans="1:5">
      <c r="A50" t="s">
        <v>627</v>
      </c>
      <c r="B50" s="213">
        <v>1</v>
      </c>
      <c r="C50" s="332">
        <v>15000</v>
      </c>
      <c r="D50" s="639">
        <v>0.4</v>
      </c>
      <c r="E50" s="332">
        <f t="shared" ref="E50:E52" si="7">+B50*C50*D50</f>
        <v>6000</v>
      </c>
    </row>
    <row r="51" spans="1:5">
      <c r="A51" t="s">
        <v>628</v>
      </c>
      <c r="B51" s="213">
        <v>1</v>
      </c>
      <c r="C51" s="332">
        <v>20000</v>
      </c>
      <c r="D51" s="639">
        <v>0.2</v>
      </c>
      <c r="E51" s="332">
        <f t="shared" si="7"/>
        <v>4000</v>
      </c>
    </row>
    <row r="52" spans="1:5">
      <c r="A52" t="s">
        <v>629</v>
      </c>
      <c r="B52" s="213">
        <v>1</v>
      </c>
      <c r="C52" s="332">
        <v>30000</v>
      </c>
      <c r="D52" s="639">
        <v>0.1</v>
      </c>
      <c r="E52" s="332">
        <f t="shared" si="7"/>
        <v>3000</v>
      </c>
    </row>
    <row r="54" spans="1:5">
      <c r="D54" s="748" t="s">
        <v>16</v>
      </c>
      <c r="E54" s="332">
        <f>SUM(E45:E53)</f>
        <v>170850</v>
      </c>
    </row>
    <row r="55" spans="1:5">
      <c r="A55" s="211" t="s">
        <v>631</v>
      </c>
      <c r="B55" s="213">
        <v>1.35</v>
      </c>
      <c r="E55" s="749">
        <f>+E54*B55</f>
        <v>230647.50000000003</v>
      </c>
    </row>
    <row r="58" spans="1:5">
      <c r="A58" s="857" t="s">
        <v>637</v>
      </c>
      <c r="B58" s="858"/>
      <c r="C58" s="858"/>
      <c r="D58" s="858"/>
      <c r="E58" s="859"/>
    </row>
    <row r="59" spans="1:5">
      <c r="D59" s="639" t="s">
        <v>630</v>
      </c>
    </row>
    <row r="60" spans="1:5">
      <c r="A60" t="s">
        <v>624</v>
      </c>
      <c r="B60" s="213">
        <v>0</v>
      </c>
      <c r="C60" s="332">
        <v>26500</v>
      </c>
      <c r="E60" s="332">
        <f>+B60*C60</f>
        <v>0</v>
      </c>
    </row>
    <row r="61" spans="1:5">
      <c r="A61" t="s">
        <v>625</v>
      </c>
      <c r="B61" s="213">
        <v>0</v>
      </c>
      <c r="C61" s="332">
        <v>40000</v>
      </c>
      <c r="E61" s="332">
        <f t="shared" ref="E61:E62" si="8">+B61*C61</f>
        <v>0</v>
      </c>
    </row>
    <row r="62" spans="1:5">
      <c r="A62" s="212" t="s">
        <v>638</v>
      </c>
      <c r="B62" s="213">
        <v>152</v>
      </c>
      <c r="C62" s="332">
        <v>120</v>
      </c>
      <c r="E62" s="332">
        <f t="shared" si="8"/>
        <v>18240</v>
      </c>
    </row>
    <row r="63" spans="1:5">
      <c r="A63" t="s">
        <v>484</v>
      </c>
      <c r="B63" s="213">
        <v>1</v>
      </c>
      <c r="C63" s="332">
        <v>7000</v>
      </c>
      <c r="D63" s="639">
        <v>0.18</v>
      </c>
      <c r="E63" s="332">
        <f>+B63*C63*D63</f>
        <v>1260</v>
      </c>
    </row>
    <row r="64" spans="1:5">
      <c r="A64" t="s">
        <v>627</v>
      </c>
      <c r="B64" s="213">
        <v>1</v>
      </c>
      <c r="C64" s="332">
        <v>15000</v>
      </c>
      <c r="D64" s="325">
        <v>0.125</v>
      </c>
      <c r="E64" s="332">
        <f t="shared" ref="E64:E66" si="9">+B64*C64*D64</f>
        <v>1875</v>
      </c>
    </row>
    <row r="65" spans="1:5">
      <c r="A65" t="s">
        <v>628</v>
      </c>
      <c r="B65" s="213">
        <v>1</v>
      </c>
      <c r="C65" s="332">
        <v>20000</v>
      </c>
      <c r="D65" s="639">
        <v>0.06</v>
      </c>
      <c r="E65" s="332">
        <f t="shared" si="9"/>
        <v>1200</v>
      </c>
    </row>
    <row r="66" spans="1:5">
      <c r="A66" t="s">
        <v>629</v>
      </c>
      <c r="B66" s="213">
        <v>0</v>
      </c>
      <c r="C66" s="332">
        <v>30000</v>
      </c>
      <c r="D66" s="639">
        <v>0.1</v>
      </c>
      <c r="E66" s="332">
        <f t="shared" si="9"/>
        <v>0</v>
      </c>
    </row>
    <row r="68" spans="1:5">
      <c r="D68" s="748" t="s">
        <v>16</v>
      </c>
      <c r="E68" s="332">
        <f>SUM(E60:E67)</f>
        <v>22575</v>
      </c>
    </row>
    <row r="69" spans="1:5">
      <c r="A69" s="211" t="s">
        <v>631</v>
      </c>
      <c r="B69" s="213">
        <v>1.35</v>
      </c>
      <c r="E69" s="749">
        <f>+E68*B69</f>
        <v>30476.250000000004</v>
      </c>
    </row>
    <row r="72" spans="1:5">
      <c r="A72" s="857" t="s">
        <v>639</v>
      </c>
      <c r="B72" s="858"/>
      <c r="C72" s="858"/>
      <c r="D72" s="858"/>
      <c r="E72" s="859"/>
    </row>
    <row r="73" spans="1:5">
      <c r="D73" s="639" t="s">
        <v>630</v>
      </c>
    </row>
    <row r="74" spans="1:5">
      <c r="A74" t="s">
        <v>624</v>
      </c>
      <c r="B74" s="213">
        <v>0.15</v>
      </c>
      <c r="C74" s="332">
        <v>28000</v>
      </c>
      <c r="E74" s="332">
        <f>+B74*C74</f>
        <v>4200</v>
      </c>
    </row>
    <row r="75" spans="1:5">
      <c r="A75" t="s">
        <v>625</v>
      </c>
      <c r="B75" s="213">
        <v>0.02</v>
      </c>
      <c r="C75" s="332">
        <v>40000</v>
      </c>
      <c r="E75" s="332">
        <f t="shared" ref="E75" si="10">+B75*C75</f>
        <v>800</v>
      </c>
    </row>
    <row r="76" spans="1:5">
      <c r="A76" t="s">
        <v>484</v>
      </c>
      <c r="B76" s="213">
        <v>1</v>
      </c>
      <c r="C76" s="332">
        <v>7000</v>
      </c>
      <c r="D76" s="639">
        <v>0.06</v>
      </c>
      <c r="E76" s="332">
        <f>+B76*C76*D76</f>
        <v>420</v>
      </c>
    </row>
    <row r="77" spans="1:5">
      <c r="A77" t="s">
        <v>627</v>
      </c>
      <c r="B77" s="213">
        <v>1</v>
      </c>
      <c r="C77" s="332">
        <v>15000</v>
      </c>
      <c r="D77" s="639">
        <v>0.05</v>
      </c>
      <c r="E77" s="332">
        <f t="shared" ref="E77:E79" si="11">+B77*C77*D77</f>
        <v>750</v>
      </c>
    </row>
    <row r="78" spans="1:5">
      <c r="A78" t="s">
        <v>628</v>
      </c>
      <c r="B78" s="213">
        <v>1</v>
      </c>
      <c r="C78" s="332">
        <v>20000</v>
      </c>
      <c r="D78" s="639">
        <v>0.01</v>
      </c>
      <c r="E78" s="332">
        <f t="shared" si="11"/>
        <v>200</v>
      </c>
    </row>
    <row r="79" spans="1:5">
      <c r="A79" t="s">
        <v>629</v>
      </c>
      <c r="B79" s="213">
        <v>0</v>
      </c>
      <c r="C79" s="332">
        <v>30000</v>
      </c>
      <c r="D79" s="639">
        <v>0.1</v>
      </c>
      <c r="E79" s="332">
        <f t="shared" si="11"/>
        <v>0</v>
      </c>
    </row>
    <row r="81" spans="1:5">
      <c r="D81" s="748" t="s">
        <v>16</v>
      </c>
      <c r="E81" s="332">
        <f>SUM(E74:E80)</f>
        <v>6370</v>
      </c>
    </row>
    <row r="82" spans="1:5">
      <c r="A82" s="211" t="s">
        <v>631</v>
      </c>
      <c r="B82" s="213">
        <v>1.35</v>
      </c>
      <c r="E82" s="749">
        <f>+E81*B82</f>
        <v>8599.5</v>
      </c>
    </row>
    <row r="85" spans="1:5">
      <c r="A85" s="857" t="s">
        <v>640</v>
      </c>
      <c r="B85" s="858"/>
      <c r="C85" s="858"/>
      <c r="D85" s="858"/>
      <c r="E85" s="859"/>
    </row>
    <row r="86" spans="1:5">
      <c r="D86" s="639" t="s">
        <v>630</v>
      </c>
    </row>
    <row r="87" spans="1:5">
      <c r="A87" t="s">
        <v>624</v>
      </c>
      <c r="B87" s="213">
        <v>0.16</v>
      </c>
      <c r="C87" s="332">
        <v>28000</v>
      </c>
      <c r="E87" s="332">
        <f>+B87*C87</f>
        <v>4480</v>
      </c>
    </row>
    <row r="88" spans="1:5">
      <c r="A88" t="s">
        <v>625</v>
      </c>
      <c r="B88" s="213">
        <v>0.02</v>
      </c>
      <c r="C88" s="332">
        <v>40000</v>
      </c>
      <c r="E88" s="332">
        <f t="shared" ref="E88" si="12">+B88*C88</f>
        <v>800</v>
      </c>
    </row>
    <row r="89" spans="1:5">
      <c r="A89" t="s">
        <v>484</v>
      </c>
      <c r="B89" s="213">
        <v>1</v>
      </c>
      <c r="C89" s="332">
        <v>7000</v>
      </c>
      <c r="D89" s="639">
        <v>0.06</v>
      </c>
      <c r="E89" s="332">
        <f>+B89*C89*D89</f>
        <v>420</v>
      </c>
    </row>
    <row r="90" spans="1:5">
      <c r="A90" t="s">
        <v>627</v>
      </c>
      <c r="B90" s="213">
        <v>1</v>
      </c>
      <c r="C90" s="332">
        <v>15000</v>
      </c>
      <c r="D90" s="639">
        <v>0.05</v>
      </c>
      <c r="E90" s="332">
        <f t="shared" ref="E90:E92" si="13">+B90*C90*D90</f>
        <v>750</v>
      </c>
    </row>
    <row r="91" spans="1:5">
      <c r="A91" t="s">
        <v>628</v>
      </c>
      <c r="B91" s="213">
        <v>1</v>
      </c>
      <c r="C91" s="332">
        <v>20000</v>
      </c>
      <c r="D91" s="639">
        <v>0.02</v>
      </c>
      <c r="E91" s="332">
        <f t="shared" si="13"/>
        <v>400</v>
      </c>
    </row>
    <row r="92" spans="1:5">
      <c r="A92" t="s">
        <v>629</v>
      </c>
      <c r="B92" s="213">
        <v>0</v>
      </c>
      <c r="C92" s="332">
        <v>30000</v>
      </c>
      <c r="D92" s="639">
        <v>0.1</v>
      </c>
      <c r="E92" s="332">
        <f t="shared" si="13"/>
        <v>0</v>
      </c>
    </row>
    <row r="94" spans="1:5">
      <c r="D94" s="748" t="s">
        <v>16</v>
      </c>
      <c r="E94" s="332">
        <f>SUM(E87:E93)</f>
        <v>6850</v>
      </c>
    </row>
    <row r="95" spans="1:5">
      <c r="A95" s="211" t="s">
        <v>631</v>
      </c>
      <c r="B95" s="213">
        <v>1.35</v>
      </c>
      <c r="E95" s="749">
        <f>+E94*B95</f>
        <v>9247.5</v>
      </c>
    </row>
  </sheetData>
  <mergeCells count="7">
    <mergeCell ref="A85:E85"/>
    <mergeCell ref="A1:E1"/>
    <mergeCell ref="A15:E15"/>
    <mergeCell ref="A29:E29"/>
    <mergeCell ref="A43:E43"/>
    <mergeCell ref="A58:E58"/>
    <mergeCell ref="A72:E72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2"/>
  <sheetViews>
    <sheetView topLeftCell="A49" workbookViewId="0">
      <selection activeCell="A19" sqref="A19"/>
    </sheetView>
  </sheetViews>
  <sheetFormatPr baseColWidth="10" defaultRowHeight="12.75"/>
  <cols>
    <col min="1" max="1" width="23.42578125" style="646" customWidth="1"/>
    <col min="2" max="2" width="10.28515625" style="646" customWidth="1"/>
    <col min="3" max="3" width="18.5703125" style="113" customWidth="1"/>
    <col min="4" max="4" width="8.28515625" style="477" customWidth="1"/>
    <col min="5" max="5" width="10.28515625" style="477" customWidth="1"/>
    <col min="6" max="7" width="12.85546875" style="113" customWidth="1"/>
    <col min="8" max="8" width="27.5703125" style="113" customWidth="1"/>
    <col min="9" max="10" width="11.42578125" style="113"/>
    <col min="11" max="11" width="12.5703125" style="552" bestFit="1" customWidth="1"/>
    <col min="12" max="12" width="13.42578125" style="552" bestFit="1" customWidth="1"/>
    <col min="13" max="16384" width="11.42578125" style="113"/>
  </cols>
  <sheetData>
    <row r="1" spans="1:13" ht="18" customHeight="1">
      <c r="A1" s="509" t="s">
        <v>31</v>
      </c>
      <c r="B1" s="509" t="s">
        <v>32</v>
      </c>
      <c r="C1" s="509" t="s">
        <v>34</v>
      </c>
      <c r="D1" s="509" t="s">
        <v>114</v>
      </c>
      <c r="E1" s="509" t="s">
        <v>32</v>
      </c>
      <c r="F1" s="509" t="s">
        <v>512</v>
      </c>
      <c r="G1" s="509" t="s">
        <v>33</v>
      </c>
    </row>
    <row r="2" spans="1:13" ht="12.75" customHeight="1">
      <c r="A2" s="647" t="s">
        <v>513</v>
      </c>
      <c r="B2" s="647"/>
      <c r="C2" s="648" t="s">
        <v>514</v>
      </c>
      <c r="D2" s="84" t="s">
        <v>23</v>
      </c>
      <c r="E2" s="99">
        <v>23</v>
      </c>
      <c r="F2" s="649">
        <v>23000</v>
      </c>
      <c r="G2" s="650">
        <f>+E2*F2</f>
        <v>529000</v>
      </c>
      <c r="H2" s="648" t="s">
        <v>514</v>
      </c>
      <c r="I2" s="84" t="s">
        <v>23</v>
      </c>
      <c r="J2" s="99">
        <f>E2+E8+E52</f>
        <v>96</v>
      </c>
      <c r="K2" s="552">
        <v>23000</v>
      </c>
      <c r="L2" s="552">
        <f>J2*K2</f>
        <v>2208000</v>
      </c>
      <c r="M2" s="113">
        <v>96</v>
      </c>
    </row>
    <row r="3" spans="1:13" ht="12.75" customHeight="1">
      <c r="A3" s="651"/>
      <c r="B3" s="651"/>
      <c r="C3" s="648" t="s">
        <v>515</v>
      </c>
      <c r="D3" s="84" t="s">
        <v>2</v>
      </c>
      <c r="E3" s="99">
        <v>6</v>
      </c>
      <c r="F3" s="649">
        <v>20000</v>
      </c>
      <c r="G3" s="650">
        <f t="shared" ref="G3:G28" si="0">+E3*F3</f>
        <v>120000</v>
      </c>
      <c r="H3" s="648" t="s">
        <v>524</v>
      </c>
      <c r="I3" s="84" t="s">
        <v>23</v>
      </c>
      <c r="J3" s="99">
        <f>E13+E36</f>
        <v>368</v>
      </c>
      <c r="K3" s="552">
        <v>28000</v>
      </c>
      <c r="L3" s="552">
        <f t="shared" ref="L3:L24" si="1">J3*K3</f>
        <v>10304000</v>
      </c>
      <c r="M3" s="113">
        <v>368</v>
      </c>
    </row>
    <row r="4" spans="1:13" ht="12.75" customHeight="1">
      <c r="A4" s="652"/>
      <c r="B4" s="652"/>
      <c r="C4" s="648" t="s">
        <v>516</v>
      </c>
      <c r="D4" s="84" t="s">
        <v>2</v>
      </c>
      <c r="E4" s="693">
        <v>8.77</v>
      </c>
      <c r="F4" s="649">
        <v>65000</v>
      </c>
      <c r="G4" s="650">
        <v>570027</v>
      </c>
      <c r="H4" s="648" t="s">
        <v>42</v>
      </c>
      <c r="I4" s="84" t="s">
        <v>2</v>
      </c>
      <c r="J4" s="99">
        <f>E3+E9+E14+E37</f>
        <v>46</v>
      </c>
      <c r="K4" s="552">
        <v>20000</v>
      </c>
      <c r="L4" s="552">
        <f t="shared" si="1"/>
        <v>920000</v>
      </c>
      <c r="M4" s="113">
        <v>46</v>
      </c>
    </row>
    <row r="5" spans="1:13" ht="12.75" customHeight="1">
      <c r="A5" s="653"/>
      <c r="B5" s="654"/>
      <c r="C5" s="655"/>
      <c r="D5" s="656"/>
      <c r="E5" s="657"/>
      <c r="F5" s="658"/>
      <c r="G5" s="659"/>
      <c r="H5" s="648" t="s">
        <v>516</v>
      </c>
      <c r="I5" s="84" t="s">
        <v>2</v>
      </c>
      <c r="J5" s="693">
        <v>62.769649999999999</v>
      </c>
      <c r="K5" s="552">
        <v>65000</v>
      </c>
      <c r="L5" s="552">
        <f t="shared" si="1"/>
        <v>4080027.25</v>
      </c>
      <c r="M5" s="113">
        <v>62.77</v>
      </c>
    </row>
    <row r="6" spans="1:13" ht="12.75" customHeight="1">
      <c r="A6" s="660" t="s">
        <v>517</v>
      </c>
      <c r="B6" s="660"/>
      <c r="C6" s="648" t="s">
        <v>38</v>
      </c>
      <c r="D6" s="84" t="s">
        <v>2</v>
      </c>
      <c r="E6" s="99">
        <v>21</v>
      </c>
      <c r="F6" s="649">
        <v>50000</v>
      </c>
      <c r="G6" s="650">
        <f t="shared" si="0"/>
        <v>1050000</v>
      </c>
      <c r="H6" s="648" t="s">
        <v>518</v>
      </c>
      <c r="I6" s="84" t="s">
        <v>37</v>
      </c>
      <c r="J6" s="99">
        <f>E11+E16+E39</f>
        <v>500</v>
      </c>
      <c r="K6" s="694">
        <v>8000</v>
      </c>
      <c r="L6" s="695">
        <f t="shared" si="1"/>
        <v>4000000</v>
      </c>
      <c r="M6" s="113">
        <v>500</v>
      </c>
    </row>
    <row r="7" spans="1:13" ht="12.75" customHeight="1">
      <c r="A7" s="661"/>
      <c r="B7" s="654"/>
      <c r="C7" s="655"/>
      <c r="D7" s="656"/>
      <c r="E7" s="657"/>
      <c r="F7" s="658"/>
      <c r="G7" s="659"/>
      <c r="H7" s="648" t="s">
        <v>520</v>
      </c>
      <c r="I7" s="84" t="s">
        <v>37</v>
      </c>
      <c r="J7" s="99">
        <f>E17+E40</f>
        <v>199</v>
      </c>
      <c r="K7" s="694">
        <v>12000</v>
      </c>
      <c r="L7" s="695">
        <f t="shared" si="1"/>
        <v>2388000</v>
      </c>
      <c r="M7" s="113">
        <v>199</v>
      </c>
    </row>
    <row r="8" spans="1:13" ht="12.75" customHeight="1">
      <c r="A8" s="647" t="s">
        <v>505</v>
      </c>
      <c r="B8" s="647"/>
      <c r="C8" s="648" t="s">
        <v>514</v>
      </c>
      <c r="D8" s="84" t="s">
        <v>23</v>
      </c>
      <c r="E8" s="99">
        <v>67</v>
      </c>
      <c r="F8" s="649">
        <f>F2</f>
        <v>23000</v>
      </c>
      <c r="G8" s="650">
        <f t="shared" si="0"/>
        <v>1541000</v>
      </c>
      <c r="H8" s="648" t="s">
        <v>521</v>
      </c>
      <c r="I8" s="84" t="s">
        <v>37</v>
      </c>
      <c r="J8" s="99">
        <f>E18+E41</f>
        <v>232</v>
      </c>
      <c r="K8" s="694">
        <v>19500</v>
      </c>
      <c r="L8" s="695">
        <f t="shared" si="1"/>
        <v>4524000</v>
      </c>
      <c r="M8" s="113">
        <v>232</v>
      </c>
    </row>
    <row r="9" spans="1:13" ht="12.75" customHeight="1">
      <c r="A9" s="651"/>
      <c r="B9" s="651"/>
      <c r="C9" s="648" t="s">
        <v>515</v>
      </c>
      <c r="D9" s="84" t="s">
        <v>2</v>
      </c>
      <c r="E9" s="99">
        <v>7</v>
      </c>
      <c r="F9" s="649">
        <f>F3</f>
        <v>20000</v>
      </c>
      <c r="G9" s="650">
        <f t="shared" si="0"/>
        <v>140000</v>
      </c>
      <c r="H9" s="648" t="s">
        <v>522</v>
      </c>
      <c r="I9" s="84" t="s">
        <v>37</v>
      </c>
      <c r="J9" s="99">
        <f>E19+E42</f>
        <v>89</v>
      </c>
      <c r="K9" s="694">
        <v>26700</v>
      </c>
      <c r="L9" s="695">
        <f t="shared" si="1"/>
        <v>2376300</v>
      </c>
      <c r="M9" s="113">
        <v>89</v>
      </c>
    </row>
    <row r="10" spans="1:13" ht="12.75" customHeight="1">
      <c r="A10" s="651"/>
      <c r="B10" s="651"/>
      <c r="C10" s="648" t="s">
        <v>516</v>
      </c>
      <c r="D10" s="84" t="s">
        <v>2</v>
      </c>
      <c r="E10" s="99">
        <v>10</v>
      </c>
      <c r="F10" s="649">
        <f>F4</f>
        <v>65000</v>
      </c>
      <c r="G10" s="650">
        <f t="shared" si="0"/>
        <v>650000</v>
      </c>
      <c r="H10" s="648" t="s">
        <v>523</v>
      </c>
      <c r="I10" s="84" t="s">
        <v>37</v>
      </c>
      <c r="J10" s="99">
        <f>E20+E43</f>
        <v>13</v>
      </c>
      <c r="K10" s="694">
        <v>57000</v>
      </c>
      <c r="L10" s="695">
        <f t="shared" si="1"/>
        <v>741000</v>
      </c>
      <c r="M10" s="673">
        <v>13</v>
      </c>
    </row>
    <row r="11" spans="1:13" ht="12.75" customHeight="1">
      <c r="A11" s="652"/>
      <c r="B11" s="652"/>
      <c r="C11" s="648" t="s">
        <v>518</v>
      </c>
      <c r="D11" s="84" t="s">
        <v>37</v>
      </c>
      <c r="E11" s="99">
        <v>115</v>
      </c>
      <c r="F11" s="649">
        <f>F16</f>
        <v>8000</v>
      </c>
      <c r="G11" s="650">
        <f t="shared" si="0"/>
        <v>920000</v>
      </c>
      <c r="H11" s="648" t="s">
        <v>45</v>
      </c>
      <c r="I11" s="84" t="s">
        <v>8</v>
      </c>
      <c r="J11" s="99">
        <f>E23+E44</f>
        <v>85</v>
      </c>
      <c r="K11" s="552">
        <v>5000</v>
      </c>
      <c r="L11" s="552">
        <f t="shared" si="1"/>
        <v>425000</v>
      </c>
      <c r="M11" s="113">
        <v>85</v>
      </c>
    </row>
    <row r="12" spans="1:13" ht="12.75" customHeight="1">
      <c r="A12" s="661"/>
      <c r="B12" s="654"/>
      <c r="C12" s="655"/>
      <c r="D12" s="656"/>
      <c r="E12" s="657"/>
      <c r="F12" s="658"/>
      <c r="G12" s="659"/>
      <c r="H12" s="648" t="s">
        <v>525</v>
      </c>
      <c r="I12" s="84" t="s">
        <v>12</v>
      </c>
      <c r="J12" s="99">
        <f>E24+E45</f>
        <v>800</v>
      </c>
      <c r="K12" s="552">
        <v>4000</v>
      </c>
      <c r="L12" s="552">
        <f t="shared" si="1"/>
        <v>3200000</v>
      </c>
      <c r="M12" s="113">
        <v>800</v>
      </c>
    </row>
    <row r="13" spans="1:13" ht="12.75" customHeight="1">
      <c r="A13" s="647" t="s">
        <v>531</v>
      </c>
      <c r="B13" s="647"/>
      <c r="C13" s="648" t="s">
        <v>524</v>
      </c>
      <c r="D13" s="84" t="s">
        <v>23</v>
      </c>
      <c r="E13" s="99">
        <v>183</v>
      </c>
      <c r="F13" s="649">
        <v>28000</v>
      </c>
      <c r="G13" s="650">
        <f t="shared" si="0"/>
        <v>5124000</v>
      </c>
      <c r="H13" s="648" t="s">
        <v>96</v>
      </c>
      <c r="I13" s="84" t="s">
        <v>12</v>
      </c>
      <c r="J13" s="99">
        <f>E25+E46</f>
        <v>800</v>
      </c>
      <c r="K13" s="552">
        <v>3500</v>
      </c>
      <c r="L13" s="552">
        <f t="shared" si="1"/>
        <v>2800000</v>
      </c>
      <c r="M13" s="113">
        <v>800</v>
      </c>
    </row>
    <row r="14" spans="1:13" ht="12.75" customHeight="1">
      <c r="A14" s="651"/>
      <c r="B14" s="651"/>
      <c r="C14" s="648" t="s">
        <v>515</v>
      </c>
      <c r="D14" s="84" t="s">
        <v>2</v>
      </c>
      <c r="E14" s="99">
        <v>20</v>
      </c>
      <c r="F14" s="649">
        <f>F3</f>
        <v>20000</v>
      </c>
      <c r="G14" s="650">
        <f t="shared" si="0"/>
        <v>400000</v>
      </c>
      <c r="H14" s="648" t="s">
        <v>526</v>
      </c>
      <c r="I14" s="84" t="s">
        <v>8</v>
      </c>
      <c r="J14" s="99">
        <v>15</v>
      </c>
      <c r="K14" s="552">
        <v>5000</v>
      </c>
      <c r="L14" s="552">
        <f t="shared" si="1"/>
        <v>75000</v>
      </c>
      <c r="M14" s="113">
        <v>15</v>
      </c>
    </row>
    <row r="15" spans="1:13" ht="12.75" customHeight="1">
      <c r="A15" s="651"/>
      <c r="B15" s="651"/>
      <c r="C15" s="648" t="s">
        <v>516</v>
      </c>
      <c r="D15" s="84" t="s">
        <v>2</v>
      </c>
      <c r="E15" s="99">
        <v>25</v>
      </c>
      <c r="F15" s="649">
        <f>F4</f>
        <v>65000</v>
      </c>
      <c r="G15" s="650">
        <f t="shared" si="0"/>
        <v>1625000</v>
      </c>
      <c r="H15" s="648" t="s">
        <v>77</v>
      </c>
      <c r="I15" s="84" t="s">
        <v>8</v>
      </c>
      <c r="J15" s="99">
        <v>20</v>
      </c>
      <c r="K15" s="552">
        <v>5000</v>
      </c>
      <c r="L15" s="552">
        <f t="shared" si="1"/>
        <v>100000</v>
      </c>
      <c r="M15" s="113">
        <v>20</v>
      </c>
    </row>
    <row r="16" spans="1:13" ht="12.75" customHeight="1">
      <c r="A16" s="651"/>
      <c r="B16" s="651"/>
      <c r="C16" s="648" t="s">
        <v>518</v>
      </c>
      <c r="D16" s="84" t="s">
        <v>37</v>
      </c>
      <c r="E16" s="99">
        <v>88</v>
      </c>
      <c r="F16" s="649">
        <v>8000</v>
      </c>
      <c r="G16" s="650">
        <f t="shared" si="0"/>
        <v>704000</v>
      </c>
      <c r="H16" s="648" t="s">
        <v>50</v>
      </c>
      <c r="I16" s="84" t="s">
        <v>8</v>
      </c>
      <c r="J16" s="99">
        <v>40</v>
      </c>
      <c r="K16" s="552">
        <v>5000</v>
      </c>
      <c r="L16" s="552">
        <f t="shared" si="1"/>
        <v>200000</v>
      </c>
      <c r="M16" s="113">
        <v>40</v>
      </c>
    </row>
    <row r="17" spans="1:12" ht="12.75" customHeight="1">
      <c r="A17" s="651"/>
      <c r="B17" s="651"/>
      <c r="C17" s="648" t="s">
        <v>520</v>
      </c>
      <c r="D17" s="84" t="s">
        <v>37</v>
      </c>
      <c r="E17" s="99">
        <v>15</v>
      </c>
      <c r="F17" s="649">
        <v>12000</v>
      </c>
      <c r="G17" s="650">
        <f t="shared" si="0"/>
        <v>180000</v>
      </c>
      <c r="H17" s="648" t="s">
        <v>38</v>
      </c>
      <c r="I17" s="84" t="s">
        <v>2</v>
      </c>
      <c r="J17" s="99">
        <v>21</v>
      </c>
      <c r="K17" s="552">
        <v>50000</v>
      </c>
      <c r="L17" s="552">
        <f t="shared" si="1"/>
        <v>1050000</v>
      </c>
    </row>
    <row r="18" spans="1:12" ht="12.75" customHeight="1">
      <c r="A18" s="651"/>
      <c r="B18" s="651"/>
      <c r="C18" s="648" t="s">
        <v>521</v>
      </c>
      <c r="D18" s="84" t="s">
        <v>37</v>
      </c>
      <c r="E18" s="99">
        <v>67</v>
      </c>
      <c r="F18" s="649">
        <v>19500</v>
      </c>
      <c r="G18" s="650">
        <f t="shared" si="0"/>
        <v>1306500</v>
      </c>
      <c r="H18" s="648" t="s">
        <v>63</v>
      </c>
      <c r="I18" s="84" t="s">
        <v>2</v>
      </c>
      <c r="J18" s="671">
        <v>8</v>
      </c>
      <c r="K18" s="552">
        <v>30000</v>
      </c>
      <c r="L18" s="552">
        <f t="shared" si="1"/>
        <v>240000</v>
      </c>
    </row>
    <row r="19" spans="1:12" ht="12.75" customHeight="1">
      <c r="A19" s="651"/>
      <c r="B19" s="651"/>
      <c r="C19" s="648" t="s">
        <v>522</v>
      </c>
      <c r="D19" s="84" t="s">
        <v>37</v>
      </c>
      <c r="E19" s="99">
        <v>40</v>
      </c>
      <c r="F19" s="649">
        <v>26700</v>
      </c>
      <c r="G19" s="650">
        <f t="shared" si="0"/>
        <v>1068000</v>
      </c>
      <c r="H19" s="648" t="s">
        <v>202</v>
      </c>
      <c r="I19" s="84" t="s">
        <v>12</v>
      </c>
      <c r="J19" s="99">
        <v>47200</v>
      </c>
      <c r="K19" s="552">
        <v>70</v>
      </c>
      <c r="L19" s="552">
        <f t="shared" si="1"/>
        <v>3304000</v>
      </c>
    </row>
    <row r="20" spans="1:12" ht="12.75" customHeight="1">
      <c r="A20" s="651"/>
      <c r="B20" s="651"/>
      <c r="C20" s="648" t="s">
        <v>523</v>
      </c>
      <c r="D20" s="84" t="s">
        <v>37</v>
      </c>
      <c r="E20" s="99">
        <v>13</v>
      </c>
      <c r="F20" s="649">
        <v>57000</v>
      </c>
      <c r="G20" s="650">
        <f t="shared" si="0"/>
        <v>741000</v>
      </c>
      <c r="L20" s="696">
        <f>SUM(L2:L19)</f>
        <v>42935327.25</v>
      </c>
    </row>
    <row r="21" spans="1:12" ht="12.75" customHeight="1">
      <c r="A21" s="651"/>
      <c r="B21" s="651"/>
      <c r="C21" s="648"/>
      <c r="D21" s="84"/>
      <c r="E21" s="99"/>
      <c r="F21" s="649"/>
      <c r="G21" s="650"/>
    </row>
    <row r="22" spans="1:12" ht="12.75" customHeight="1">
      <c r="A22" s="651"/>
      <c r="B22" s="651"/>
      <c r="C22" s="648"/>
      <c r="D22" s="84"/>
      <c r="E22" s="99"/>
      <c r="F22" s="649"/>
      <c r="G22" s="650"/>
    </row>
    <row r="23" spans="1:12" ht="12.75" customHeight="1">
      <c r="A23" s="651"/>
      <c r="B23" s="651"/>
      <c r="C23" s="648" t="s">
        <v>45</v>
      </c>
      <c r="D23" s="84" t="s">
        <v>8</v>
      </c>
      <c r="E23" s="99">
        <v>35</v>
      </c>
      <c r="F23" s="649">
        <v>5000</v>
      </c>
      <c r="G23" s="650">
        <f t="shared" si="0"/>
        <v>175000</v>
      </c>
      <c r="H23" s="660" t="s">
        <v>529</v>
      </c>
      <c r="I23" s="99" t="s">
        <v>12</v>
      </c>
      <c r="J23" s="671">
        <v>6</v>
      </c>
      <c r="K23" s="552">
        <v>450000</v>
      </c>
      <c r="L23" s="552">
        <f t="shared" si="1"/>
        <v>2700000</v>
      </c>
    </row>
    <row r="24" spans="1:12" ht="12.75" customHeight="1">
      <c r="A24" s="651"/>
      <c r="B24" s="651"/>
      <c r="C24" s="648" t="s">
        <v>525</v>
      </c>
      <c r="D24" s="84" t="s">
        <v>12</v>
      </c>
      <c r="E24" s="99">
        <v>150</v>
      </c>
      <c r="F24" s="649">
        <v>4000</v>
      </c>
      <c r="G24" s="650">
        <f t="shared" si="0"/>
        <v>600000</v>
      </c>
      <c r="H24" s="675" t="s">
        <v>546</v>
      </c>
      <c r="I24" s="676" t="s">
        <v>129</v>
      </c>
      <c r="J24" s="99">
        <v>1</v>
      </c>
      <c r="K24" s="552">
        <v>15600000</v>
      </c>
      <c r="L24" s="552">
        <f t="shared" si="1"/>
        <v>15600000</v>
      </c>
    </row>
    <row r="25" spans="1:12" ht="12.75" customHeight="1">
      <c r="A25" s="651"/>
      <c r="B25" s="651"/>
      <c r="C25" s="648" t="s">
        <v>96</v>
      </c>
      <c r="D25" s="84" t="s">
        <v>12</v>
      </c>
      <c r="E25" s="99">
        <v>100</v>
      </c>
      <c r="F25" s="649">
        <v>3500</v>
      </c>
      <c r="G25" s="650">
        <f t="shared" si="0"/>
        <v>350000</v>
      </c>
      <c r="L25" s="696">
        <f>SUM(L23:L24)</f>
        <v>18300000</v>
      </c>
    </row>
    <row r="26" spans="1:12" ht="12.75" customHeight="1">
      <c r="A26" s="651"/>
      <c r="B26" s="651"/>
      <c r="C26" s="648" t="s">
        <v>526</v>
      </c>
      <c r="D26" s="84" t="s">
        <v>8</v>
      </c>
      <c r="E26" s="99">
        <v>5</v>
      </c>
      <c r="F26" s="649">
        <v>5000</v>
      </c>
      <c r="G26" s="650">
        <f t="shared" si="0"/>
        <v>25000</v>
      </c>
    </row>
    <row r="27" spans="1:12" ht="12.75" customHeight="1">
      <c r="A27" s="651"/>
      <c r="B27" s="651"/>
      <c r="C27" s="648" t="s">
        <v>77</v>
      </c>
      <c r="D27" s="84" t="s">
        <v>8</v>
      </c>
      <c r="E27" s="99">
        <v>10</v>
      </c>
      <c r="F27" s="649">
        <f>F26</f>
        <v>5000</v>
      </c>
      <c r="G27" s="650">
        <f t="shared" si="0"/>
        <v>50000</v>
      </c>
      <c r="L27" s="697">
        <f>L20+L25</f>
        <v>61235327.25</v>
      </c>
    </row>
    <row r="28" spans="1:12" ht="12.75" customHeight="1">
      <c r="A28" s="652"/>
      <c r="B28" s="652"/>
      <c r="C28" s="648" t="s">
        <v>50</v>
      </c>
      <c r="D28" s="84" t="s">
        <v>8</v>
      </c>
      <c r="E28" s="99">
        <v>5</v>
      </c>
      <c r="F28" s="649">
        <f>F26</f>
        <v>5000</v>
      </c>
      <c r="G28" s="650">
        <f t="shared" si="0"/>
        <v>25000</v>
      </c>
    </row>
    <row r="29" spans="1:12" ht="12.75" customHeight="1">
      <c r="A29" s="662"/>
      <c r="B29" s="662"/>
      <c r="C29" s="663"/>
      <c r="D29" s="273"/>
      <c r="E29" s="664"/>
      <c r="F29" s="658"/>
      <c r="G29" s="665"/>
      <c r="J29" s="673"/>
    </row>
    <row r="30" spans="1:12" ht="12.75" customHeight="1">
      <c r="A30" s="660" t="s">
        <v>529</v>
      </c>
      <c r="B30" s="660"/>
      <c r="C30" s="648"/>
      <c r="D30" s="84" t="s">
        <v>530</v>
      </c>
      <c r="E30" s="99">
        <v>3</v>
      </c>
      <c r="F30" s="649">
        <v>450000</v>
      </c>
      <c r="G30" s="650">
        <f>E30*F30</f>
        <v>1350000</v>
      </c>
      <c r="J30" s="114"/>
    </row>
    <row r="31" spans="1:12" ht="15" customHeight="1">
      <c r="F31" s="509" t="s">
        <v>16</v>
      </c>
      <c r="G31" s="666">
        <f>SUM(G2:G30)</f>
        <v>19243527</v>
      </c>
      <c r="H31" s="601"/>
    </row>
    <row r="32" spans="1:12">
      <c r="H32" s="482"/>
    </row>
    <row r="33" spans="1:8">
      <c r="A33" s="672" t="s">
        <v>527</v>
      </c>
    </row>
    <row r="35" spans="1:8" ht="18" customHeight="1">
      <c r="A35" s="667" t="s">
        <v>31</v>
      </c>
      <c r="B35" s="509" t="s">
        <v>32</v>
      </c>
      <c r="C35" s="509" t="s">
        <v>34</v>
      </c>
      <c r="D35" s="509" t="s">
        <v>114</v>
      </c>
      <c r="E35" s="509" t="s">
        <v>32</v>
      </c>
      <c r="F35" s="509" t="s">
        <v>512</v>
      </c>
      <c r="G35" s="509" t="s">
        <v>33</v>
      </c>
      <c r="H35" s="668"/>
    </row>
    <row r="36" spans="1:8" ht="12.75" customHeight="1">
      <c r="A36" s="647" t="s">
        <v>519</v>
      </c>
      <c r="B36" s="647"/>
      <c r="C36" s="648" t="s">
        <v>524</v>
      </c>
      <c r="D36" s="84" t="s">
        <v>23</v>
      </c>
      <c r="E36" s="99">
        <v>185</v>
      </c>
      <c r="F36" s="649">
        <f>F13</f>
        <v>28000</v>
      </c>
      <c r="G36" s="650">
        <f>E36*F36</f>
        <v>5180000</v>
      </c>
    </row>
    <row r="37" spans="1:8" ht="12.75" customHeight="1">
      <c r="A37" s="651"/>
      <c r="B37" s="651"/>
      <c r="C37" s="648" t="s">
        <v>515</v>
      </c>
      <c r="D37" s="84" t="s">
        <v>2</v>
      </c>
      <c r="E37" s="99">
        <v>13</v>
      </c>
      <c r="F37" s="649">
        <f>F3</f>
        <v>20000</v>
      </c>
      <c r="G37" s="650">
        <f t="shared" ref="G37:G53" si="2">E37*F37</f>
        <v>260000</v>
      </c>
    </row>
    <row r="38" spans="1:8" ht="12.75" customHeight="1">
      <c r="A38" s="651"/>
      <c r="B38" s="651"/>
      <c r="C38" s="648" t="s">
        <v>516</v>
      </c>
      <c r="D38" s="84" t="s">
        <v>2</v>
      </c>
      <c r="E38" s="99">
        <v>19</v>
      </c>
      <c r="F38" s="649">
        <f>F10</f>
        <v>65000</v>
      </c>
      <c r="G38" s="650">
        <f t="shared" si="2"/>
        <v>1235000</v>
      </c>
    </row>
    <row r="39" spans="1:8" ht="12.75" customHeight="1">
      <c r="A39" s="651"/>
      <c r="B39" s="651"/>
      <c r="C39" s="648" t="s">
        <v>518</v>
      </c>
      <c r="D39" s="84" t="s">
        <v>37</v>
      </c>
      <c r="E39" s="99">
        <v>297</v>
      </c>
      <c r="F39" s="649">
        <f>F16</f>
        <v>8000</v>
      </c>
      <c r="G39" s="650">
        <f t="shared" si="2"/>
        <v>2376000</v>
      </c>
      <c r="H39" s="669"/>
    </row>
    <row r="40" spans="1:8" ht="12.75" customHeight="1">
      <c r="A40" s="651"/>
      <c r="B40" s="651"/>
      <c r="C40" s="648" t="s">
        <v>520</v>
      </c>
      <c r="D40" s="84" t="s">
        <v>37</v>
      </c>
      <c r="E40" s="99">
        <v>184</v>
      </c>
      <c r="F40" s="649">
        <f>F17</f>
        <v>12000</v>
      </c>
      <c r="G40" s="650">
        <f t="shared" si="2"/>
        <v>2208000</v>
      </c>
    </row>
    <row r="41" spans="1:8" ht="12.75" customHeight="1">
      <c r="A41" s="651"/>
      <c r="B41" s="651"/>
      <c r="C41" s="648" t="s">
        <v>521</v>
      </c>
      <c r="D41" s="84" t="s">
        <v>37</v>
      </c>
      <c r="E41" s="99">
        <v>165</v>
      </c>
      <c r="F41" s="649">
        <f>F18</f>
        <v>19500</v>
      </c>
      <c r="G41" s="650">
        <f t="shared" si="2"/>
        <v>3217500</v>
      </c>
    </row>
    <row r="42" spans="1:8" ht="12.75" customHeight="1">
      <c r="A42" s="651"/>
      <c r="B42" s="651"/>
      <c r="C42" s="648" t="s">
        <v>522</v>
      </c>
      <c r="D42" s="84" t="s">
        <v>37</v>
      </c>
      <c r="E42" s="99">
        <v>49</v>
      </c>
      <c r="F42" s="649">
        <f>F19</f>
        <v>26700</v>
      </c>
      <c r="G42" s="650">
        <f t="shared" si="2"/>
        <v>1308300</v>
      </c>
    </row>
    <row r="43" spans="1:8" ht="12.75" customHeight="1">
      <c r="A43" s="651"/>
      <c r="B43" s="651"/>
      <c r="C43" s="648" t="s">
        <v>523</v>
      </c>
      <c r="D43" s="84" t="s">
        <v>37</v>
      </c>
      <c r="E43" s="99"/>
      <c r="F43" s="649">
        <f>F20</f>
        <v>57000</v>
      </c>
      <c r="G43" s="650">
        <f t="shared" si="2"/>
        <v>0</v>
      </c>
    </row>
    <row r="44" spans="1:8" ht="12.75" customHeight="1">
      <c r="A44" s="651"/>
      <c r="B44" s="651"/>
      <c r="C44" s="648" t="s">
        <v>45</v>
      </c>
      <c r="D44" s="84" t="s">
        <v>8</v>
      </c>
      <c r="E44" s="99">
        <v>50</v>
      </c>
      <c r="F44" s="649">
        <v>5000</v>
      </c>
      <c r="G44" s="650">
        <f t="shared" ref="G44" si="3">+E44*F44</f>
        <v>250000</v>
      </c>
    </row>
    <row r="45" spans="1:8" ht="12.75" customHeight="1">
      <c r="A45" s="651"/>
      <c r="B45" s="651"/>
      <c r="C45" s="648" t="s">
        <v>525</v>
      </c>
      <c r="D45" s="84" t="s">
        <v>12</v>
      </c>
      <c r="E45" s="99">
        <v>650</v>
      </c>
      <c r="F45" s="649">
        <f>F24</f>
        <v>4000</v>
      </c>
      <c r="G45" s="650">
        <f t="shared" si="2"/>
        <v>2600000</v>
      </c>
    </row>
    <row r="46" spans="1:8" ht="12.75" customHeight="1">
      <c r="A46" s="651"/>
      <c r="B46" s="651"/>
      <c r="C46" s="648" t="s">
        <v>96</v>
      </c>
      <c r="D46" s="84" t="s">
        <v>12</v>
      </c>
      <c r="E46" s="99">
        <v>700</v>
      </c>
      <c r="F46" s="649">
        <f>+F25</f>
        <v>3500</v>
      </c>
      <c r="G46" s="650">
        <f t="shared" si="2"/>
        <v>2450000</v>
      </c>
    </row>
    <row r="47" spans="1:8" ht="12.75" customHeight="1">
      <c r="A47" s="651"/>
      <c r="B47" s="651"/>
      <c r="C47" s="648" t="s">
        <v>526</v>
      </c>
      <c r="D47" s="84" t="s">
        <v>8</v>
      </c>
      <c r="E47" s="99">
        <v>10</v>
      </c>
      <c r="F47" s="649">
        <f>F26</f>
        <v>5000</v>
      </c>
      <c r="G47" s="650">
        <f t="shared" si="2"/>
        <v>50000</v>
      </c>
    </row>
    <row r="48" spans="1:8" ht="12.75" customHeight="1">
      <c r="A48" s="651"/>
      <c r="B48" s="651"/>
      <c r="C48" s="648" t="s">
        <v>77</v>
      </c>
      <c r="D48" s="84" t="s">
        <v>8</v>
      </c>
      <c r="E48" s="99">
        <v>10</v>
      </c>
      <c r="F48" s="649">
        <f>F26</f>
        <v>5000</v>
      </c>
      <c r="G48" s="650">
        <f t="shared" si="2"/>
        <v>50000</v>
      </c>
    </row>
    <row r="49" spans="1:9" ht="12.75" customHeight="1">
      <c r="A49" s="652"/>
      <c r="B49" s="652"/>
      <c r="C49" s="648" t="s">
        <v>50</v>
      </c>
      <c r="D49" s="84" t="s">
        <v>8</v>
      </c>
      <c r="E49" s="99">
        <v>35</v>
      </c>
      <c r="F49" s="649">
        <f>F28</f>
        <v>5000</v>
      </c>
      <c r="G49" s="650">
        <f t="shared" si="2"/>
        <v>175000</v>
      </c>
    </row>
    <row r="50" spans="1:9" ht="12.75" customHeight="1">
      <c r="A50" s="661"/>
      <c r="B50" s="654"/>
      <c r="C50" s="655"/>
      <c r="D50" s="656"/>
      <c r="E50" s="670"/>
      <c r="F50" s="658"/>
      <c r="G50" s="659"/>
    </row>
    <row r="51" spans="1:9" ht="12.75" customHeight="1">
      <c r="A51" s="647" t="s">
        <v>528</v>
      </c>
      <c r="B51" s="647"/>
      <c r="C51" s="648" t="s">
        <v>202</v>
      </c>
      <c r="D51" s="84" t="s">
        <v>12</v>
      </c>
      <c r="E51" s="99">
        <v>47200</v>
      </c>
      <c r="F51" s="649">
        <v>70</v>
      </c>
      <c r="G51" s="650">
        <f t="shared" si="2"/>
        <v>3304000</v>
      </c>
    </row>
    <row r="52" spans="1:9" ht="12.75" customHeight="1">
      <c r="A52" s="651"/>
      <c r="B52" s="651"/>
      <c r="C52" s="648" t="s">
        <v>514</v>
      </c>
      <c r="D52" s="84" t="s">
        <v>23</v>
      </c>
      <c r="E52" s="671">
        <v>6</v>
      </c>
      <c r="F52" s="649">
        <f>F2</f>
        <v>23000</v>
      </c>
      <c r="G52" s="650">
        <f t="shared" si="2"/>
        <v>138000</v>
      </c>
    </row>
    <row r="53" spans="1:9" ht="12.75" customHeight="1">
      <c r="A53" s="652"/>
      <c r="B53" s="652"/>
      <c r="C53" s="648" t="s">
        <v>63</v>
      </c>
      <c r="D53" s="84" t="s">
        <v>2</v>
      </c>
      <c r="E53" s="671">
        <v>8</v>
      </c>
      <c r="F53" s="649">
        <v>30000</v>
      </c>
      <c r="G53" s="650">
        <f t="shared" si="2"/>
        <v>240000</v>
      </c>
    </row>
    <row r="54" spans="1:9" ht="12.75" customHeight="1">
      <c r="A54" s="662"/>
      <c r="B54" s="662"/>
      <c r="C54" s="663"/>
      <c r="D54" s="273"/>
      <c r="E54" s="664"/>
      <c r="F54" s="658"/>
      <c r="G54" s="665"/>
    </row>
    <row r="55" spans="1:9" ht="12.75" customHeight="1">
      <c r="A55" s="660" t="s">
        <v>529</v>
      </c>
      <c r="B55" s="660"/>
      <c r="C55" s="648"/>
      <c r="D55" s="84" t="s">
        <v>530</v>
      </c>
      <c r="E55" s="99">
        <v>3</v>
      </c>
      <c r="F55" s="649">
        <v>450000</v>
      </c>
      <c r="G55" s="650">
        <f>E55*F55</f>
        <v>1350000</v>
      </c>
    </row>
    <row r="56" spans="1:9" ht="12.75" customHeight="1">
      <c r="F56" s="509" t="s">
        <v>16</v>
      </c>
      <c r="G56" s="666">
        <f>SUM(G36:G55)</f>
        <v>26391800</v>
      </c>
    </row>
    <row r="57" spans="1:9" ht="12.75" customHeight="1"/>
    <row r="58" spans="1:9" ht="12.75" customHeight="1">
      <c r="A58" s="800" t="s">
        <v>532</v>
      </c>
      <c r="B58" s="801"/>
      <c r="C58" s="648"/>
      <c r="D58" s="84" t="s">
        <v>533</v>
      </c>
      <c r="E58" s="99">
        <v>1</v>
      </c>
      <c r="F58" s="649">
        <v>15600000</v>
      </c>
      <c r="G58" s="650">
        <f>E58*F58</f>
        <v>15600000</v>
      </c>
    </row>
    <row r="59" spans="1:9" ht="12.75" customHeight="1">
      <c r="F59" s="509" t="s">
        <v>16</v>
      </c>
      <c r="G59" s="666">
        <f>SUM(G58)</f>
        <v>15600000</v>
      </c>
    </row>
    <row r="61" spans="1:9" ht="18" customHeight="1">
      <c r="E61" s="798" t="s">
        <v>64</v>
      </c>
      <c r="F61" s="799"/>
      <c r="G61" s="674">
        <f>SUM(G31+G56+G59)</f>
        <v>61235327</v>
      </c>
      <c r="I61" s="673"/>
    </row>
    <row r="62" spans="1:9">
      <c r="G62" s="552"/>
      <c r="H62" s="673"/>
    </row>
  </sheetData>
  <mergeCells count="2">
    <mergeCell ref="E61:F61"/>
    <mergeCell ref="A58:B58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67"/>
  <sheetViews>
    <sheetView topLeftCell="A85" workbookViewId="0">
      <selection activeCell="B102" sqref="B102:F102"/>
    </sheetView>
  </sheetViews>
  <sheetFormatPr baseColWidth="10" defaultRowHeight="12.75"/>
  <cols>
    <col min="1" max="1" width="10.7109375" style="356" customWidth="1"/>
    <col min="2" max="2" width="44.42578125" style="353" customWidth="1"/>
    <col min="3" max="3" width="7.7109375" style="356" customWidth="1"/>
    <col min="4" max="4" width="11.5703125" style="356" customWidth="1"/>
    <col min="5" max="5" width="12.42578125" style="357" customWidth="1"/>
    <col min="6" max="6" width="14.28515625" style="357" customWidth="1"/>
    <col min="7" max="7" width="8.85546875" style="353" customWidth="1"/>
    <col min="8" max="8" width="17.28515625" style="357" customWidth="1"/>
    <col min="9" max="9" width="8.85546875" style="353" customWidth="1"/>
    <col min="10" max="16384" width="11.42578125" style="353"/>
  </cols>
  <sheetData>
    <row r="1" spans="1:8" ht="16.5" customHeight="1">
      <c r="A1" s="805" t="s">
        <v>207</v>
      </c>
      <c r="B1" s="805"/>
      <c r="C1" s="805"/>
      <c r="D1" s="805"/>
      <c r="E1" s="805"/>
      <c r="F1" s="805"/>
    </row>
    <row r="2" spans="1:8" ht="16.5" customHeight="1">
      <c r="A2" s="805" t="s">
        <v>208</v>
      </c>
      <c r="B2" s="805"/>
      <c r="C2" s="805"/>
      <c r="D2" s="805"/>
      <c r="E2" s="805"/>
      <c r="F2" s="805"/>
    </row>
    <row r="3" spans="1:8" ht="16.5" customHeight="1">
      <c r="A3" s="806" t="s">
        <v>209</v>
      </c>
      <c r="B3" s="806"/>
      <c r="C3" s="806"/>
      <c r="D3" s="806"/>
      <c r="E3" s="806"/>
      <c r="F3" s="806"/>
    </row>
    <row r="4" spans="1:8" ht="15" customHeight="1">
      <c r="A4" s="352"/>
      <c r="B4" s="352"/>
      <c r="C4" s="352"/>
      <c r="D4" s="352"/>
      <c r="E4" s="352"/>
      <c r="F4" s="352"/>
    </row>
    <row r="5" spans="1:8" ht="15" customHeight="1">
      <c r="A5" s="804" t="s">
        <v>164</v>
      </c>
      <c r="B5" s="804"/>
      <c r="C5" s="355"/>
    </row>
    <row r="6" spans="1:8" ht="15" customHeight="1"/>
    <row r="7" spans="1:8" s="356" customFormat="1" ht="18" customHeight="1">
      <c r="A7" s="358" t="s">
        <v>30</v>
      </c>
      <c r="B7" s="358" t="s">
        <v>31</v>
      </c>
      <c r="C7" s="358" t="s">
        <v>12</v>
      </c>
      <c r="D7" s="358" t="s">
        <v>32</v>
      </c>
      <c r="E7" s="359" t="s">
        <v>40</v>
      </c>
      <c r="F7" s="359" t="s">
        <v>33</v>
      </c>
      <c r="H7" s="690"/>
    </row>
    <row r="8" spans="1:8" s="356" customFormat="1" ht="18" customHeight="1">
      <c r="A8" s="360" t="s">
        <v>119</v>
      </c>
      <c r="B8" s="361" t="s">
        <v>120</v>
      </c>
      <c r="C8" s="362" t="s">
        <v>129</v>
      </c>
      <c r="D8" s="363">
        <v>1</v>
      </c>
      <c r="E8" s="364">
        <v>750000</v>
      </c>
      <c r="F8" s="364">
        <f>+D8*E8</f>
        <v>750000</v>
      </c>
      <c r="H8" s="690"/>
    </row>
    <row r="9" spans="1:8" ht="24" customHeight="1">
      <c r="A9" s="807" t="s">
        <v>165</v>
      </c>
      <c r="B9" s="808"/>
      <c r="C9" s="808"/>
      <c r="D9" s="808"/>
      <c r="E9" s="809"/>
      <c r="F9" s="365">
        <f>SUM(F8)</f>
        <v>750000</v>
      </c>
    </row>
    <row r="10" spans="1:8" ht="15" customHeight="1">
      <c r="A10" s="352"/>
      <c r="B10" s="352"/>
      <c r="C10" s="352"/>
      <c r="D10" s="352"/>
      <c r="E10" s="352"/>
      <c r="F10" s="352"/>
    </row>
    <row r="11" spans="1:8" ht="15" customHeight="1">
      <c r="A11" s="804" t="s">
        <v>68</v>
      </c>
      <c r="B11" s="804"/>
      <c r="C11" s="355"/>
    </row>
    <row r="12" spans="1:8" ht="15" customHeight="1"/>
    <row r="13" spans="1:8" s="356" customFormat="1" ht="18" customHeight="1">
      <c r="A13" s="358" t="s">
        <v>30</v>
      </c>
      <c r="B13" s="358" t="s">
        <v>31</v>
      </c>
      <c r="C13" s="358" t="s">
        <v>12</v>
      </c>
      <c r="D13" s="358" t="s">
        <v>32</v>
      </c>
      <c r="E13" s="359" t="s">
        <v>40</v>
      </c>
      <c r="F13" s="359" t="s">
        <v>33</v>
      </c>
      <c r="H13" s="690"/>
    </row>
    <row r="14" spans="1:8" s="356" customFormat="1" ht="18" customHeight="1">
      <c r="A14" s="360" t="s">
        <v>0</v>
      </c>
      <c r="B14" s="361" t="s">
        <v>210</v>
      </c>
      <c r="C14" s="362" t="s">
        <v>2</v>
      </c>
      <c r="D14" s="366">
        <v>60.48</v>
      </c>
      <c r="E14" s="364">
        <v>4000</v>
      </c>
      <c r="F14" s="364">
        <f>D14*E14</f>
        <v>241920</v>
      </c>
      <c r="H14" s="690"/>
    </row>
    <row r="15" spans="1:8" s="356" customFormat="1" ht="18" customHeight="1">
      <c r="A15" s="360" t="s">
        <v>211</v>
      </c>
      <c r="B15" s="361" t="s">
        <v>213</v>
      </c>
      <c r="C15" s="362" t="s">
        <v>2</v>
      </c>
      <c r="D15" s="362">
        <v>15.593999999999999</v>
      </c>
      <c r="E15" s="364">
        <v>5000</v>
      </c>
      <c r="F15" s="367">
        <f t="shared" ref="F15:F16" si="0">D15*E15</f>
        <v>77970</v>
      </c>
      <c r="H15" s="690"/>
    </row>
    <row r="16" spans="1:8" s="356" customFormat="1" ht="18" customHeight="1">
      <c r="A16" s="360" t="s">
        <v>212</v>
      </c>
      <c r="B16" s="361" t="s">
        <v>214</v>
      </c>
      <c r="C16" s="362" t="s">
        <v>2</v>
      </c>
      <c r="D16" s="366"/>
      <c r="E16" s="364"/>
      <c r="F16" s="367">
        <f t="shared" si="0"/>
        <v>0</v>
      </c>
      <c r="H16" s="690"/>
    </row>
    <row r="17" spans="1:8" ht="24" customHeight="1">
      <c r="A17" s="807" t="s">
        <v>92</v>
      </c>
      <c r="B17" s="808"/>
      <c r="C17" s="808"/>
      <c r="D17" s="808"/>
      <c r="E17" s="809"/>
      <c r="F17" s="365">
        <f>SUM(F14:F16)</f>
        <v>319890</v>
      </c>
    </row>
    <row r="18" spans="1:8" ht="15" customHeight="1">
      <c r="A18" s="368"/>
      <c r="B18" s="369"/>
      <c r="C18" s="370"/>
      <c r="D18" s="371"/>
      <c r="E18" s="372"/>
      <c r="F18" s="373"/>
    </row>
    <row r="19" spans="1:8" ht="15" customHeight="1">
      <c r="A19" s="810" t="s">
        <v>179</v>
      </c>
      <c r="B19" s="810"/>
      <c r="C19" s="810"/>
      <c r="D19" s="810"/>
      <c r="E19" s="372"/>
      <c r="F19" s="374"/>
    </row>
    <row r="20" spans="1:8" ht="15" customHeight="1">
      <c r="A20" s="368"/>
      <c r="B20" s="369"/>
      <c r="C20" s="370"/>
      <c r="D20" s="371"/>
      <c r="E20" s="372"/>
      <c r="F20" s="374"/>
    </row>
    <row r="21" spans="1:8" s="356" customFormat="1" ht="18" customHeight="1">
      <c r="A21" s="358" t="s">
        <v>30</v>
      </c>
      <c r="B21" s="358" t="s">
        <v>31</v>
      </c>
      <c r="C21" s="358" t="s">
        <v>12</v>
      </c>
      <c r="D21" s="358" t="s">
        <v>32</v>
      </c>
      <c r="E21" s="359" t="s">
        <v>40</v>
      </c>
      <c r="F21" s="359" t="s">
        <v>33</v>
      </c>
      <c r="H21" s="690"/>
    </row>
    <row r="22" spans="1:8" ht="27" customHeight="1">
      <c r="A22" s="375" t="s">
        <v>3</v>
      </c>
      <c r="B22" s="376" t="s">
        <v>411</v>
      </c>
      <c r="C22" s="377" t="s">
        <v>2</v>
      </c>
      <c r="D22" s="378">
        <v>4.0289999999999999</v>
      </c>
      <c r="E22" s="379">
        <v>238500</v>
      </c>
      <c r="F22" s="281">
        <f>+D22*E22</f>
        <v>960916.5</v>
      </c>
    </row>
    <row r="23" spans="1:8" ht="27" customHeight="1">
      <c r="A23" s="375" t="s">
        <v>4</v>
      </c>
      <c r="B23" s="380" t="s">
        <v>215</v>
      </c>
      <c r="C23" s="381" t="s">
        <v>2</v>
      </c>
      <c r="D23" s="382">
        <v>20.504000000000001</v>
      </c>
      <c r="E23" s="283">
        <v>75000</v>
      </c>
      <c r="F23" s="281">
        <f t="shared" ref="F23:F27" si="1">+D23*E23</f>
        <v>1537800</v>
      </c>
    </row>
    <row r="24" spans="1:8" s="384" customFormat="1" ht="27" customHeight="1">
      <c r="A24" s="375" t="s">
        <v>5</v>
      </c>
      <c r="B24" s="383" t="s">
        <v>216</v>
      </c>
      <c r="C24" s="381" t="s">
        <v>2</v>
      </c>
      <c r="D24" s="382">
        <v>11.134</v>
      </c>
      <c r="E24" s="283">
        <v>346000</v>
      </c>
      <c r="F24" s="282">
        <f t="shared" si="1"/>
        <v>3852364</v>
      </c>
      <c r="H24" s="408"/>
    </row>
    <row r="25" spans="1:8" ht="25.5">
      <c r="A25" s="375" t="s">
        <v>6</v>
      </c>
      <c r="B25" s="380" t="s">
        <v>383</v>
      </c>
      <c r="C25" s="362" t="s">
        <v>2</v>
      </c>
      <c r="D25" s="386">
        <v>18.686</v>
      </c>
      <c r="E25" s="281">
        <v>390000</v>
      </c>
      <c r="F25" s="281">
        <f t="shared" si="1"/>
        <v>7287540</v>
      </c>
    </row>
    <row r="26" spans="1:8" ht="27" customHeight="1">
      <c r="A26" s="375" t="s">
        <v>17</v>
      </c>
      <c r="B26" s="376" t="s">
        <v>218</v>
      </c>
      <c r="C26" s="377" t="s">
        <v>18</v>
      </c>
      <c r="D26" s="349">
        <f>D25*70</f>
        <v>1308.02</v>
      </c>
      <c r="E26" s="387">
        <v>5500</v>
      </c>
      <c r="F26" s="281">
        <f t="shared" si="1"/>
        <v>7194110</v>
      </c>
    </row>
    <row r="27" spans="1:8" ht="18" customHeight="1">
      <c r="A27" s="360" t="s">
        <v>19</v>
      </c>
      <c r="B27" s="380" t="s">
        <v>219</v>
      </c>
      <c r="C27" s="362" t="s">
        <v>1</v>
      </c>
      <c r="D27" s="388">
        <f>D25*7.9</f>
        <v>147.61940000000001</v>
      </c>
      <c r="E27" s="282">
        <v>11500</v>
      </c>
      <c r="F27" s="281">
        <f t="shared" si="1"/>
        <v>1697623.1</v>
      </c>
    </row>
    <row r="28" spans="1:8" ht="24" customHeight="1">
      <c r="A28" s="807" t="s">
        <v>166</v>
      </c>
      <c r="B28" s="808"/>
      <c r="C28" s="808"/>
      <c r="D28" s="808"/>
      <c r="E28" s="809"/>
      <c r="F28" s="365">
        <f>SUM(F22:F27)</f>
        <v>22530353.600000001</v>
      </c>
    </row>
    <row r="29" spans="1:8" ht="15" customHeight="1">
      <c r="A29" s="390"/>
      <c r="B29" s="391"/>
      <c r="C29" s="392"/>
      <c r="D29" s="393"/>
      <c r="E29" s="394"/>
      <c r="F29" s="394"/>
    </row>
    <row r="30" spans="1:8" ht="15" customHeight="1">
      <c r="A30" s="810" t="s">
        <v>180</v>
      </c>
      <c r="B30" s="810"/>
      <c r="C30" s="810"/>
      <c r="D30" s="810"/>
      <c r="E30" s="372"/>
      <c r="F30" s="374"/>
    </row>
    <row r="31" spans="1:8" ht="15" customHeight="1">
      <c r="A31" s="368"/>
      <c r="B31" s="369"/>
      <c r="C31" s="370"/>
      <c r="D31" s="371"/>
      <c r="E31" s="372"/>
      <c r="F31" s="374"/>
    </row>
    <row r="32" spans="1:8" s="356" customFormat="1" ht="18" customHeight="1">
      <c r="A32" s="358" t="s">
        <v>30</v>
      </c>
      <c r="B32" s="358" t="s">
        <v>31</v>
      </c>
      <c r="C32" s="358" t="s">
        <v>12</v>
      </c>
      <c r="D32" s="358" t="s">
        <v>32</v>
      </c>
      <c r="E32" s="359" t="s">
        <v>40</v>
      </c>
      <c r="F32" s="359" t="s">
        <v>33</v>
      </c>
      <c r="H32" s="690"/>
    </row>
    <row r="33" spans="1:8" ht="38.25">
      <c r="A33" s="375" t="s">
        <v>7</v>
      </c>
      <c r="B33" s="380" t="s">
        <v>372</v>
      </c>
      <c r="C33" s="362" t="s">
        <v>2</v>
      </c>
      <c r="D33" s="386">
        <v>50.872</v>
      </c>
      <c r="E33" s="281">
        <f>+E25</f>
        <v>390000</v>
      </c>
      <c r="F33" s="281">
        <f t="shared" ref="F33:F39" si="2">+D33*E33</f>
        <v>19840080</v>
      </c>
    </row>
    <row r="34" spans="1:8" ht="26.25" customHeight="1">
      <c r="A34" s="375" t="s">
        <v>121</v>
      </c>
      <c r="B34" s="376" t="s">
        <v>218</v>
      </c>
      <c r="C34" s="377" t="s">
        <v>18</v>
      </c>
      <c r="D34" s="349">
        <v>3722.04</v>
      </c>
      <c r="E34" s="387">
        <f>+E26</f>
        <v>5500</v>
      </c>
      <c r="F34" s="281">
        <f t="shared" si="2"/>
        <v>20471220</v>
      </c>
    </row>
    <row r="35" spans="1:8" ht="18" customHeight="1">
      <c r="A35" s="375" t="s">
        <v>122</v>
      </c>
      <c r="B35" s="380" t="s">
        <v>219</v>
      </c>
      <c r="C35" s="362" t="s">
        <v>1</v>
      </c>
      <c r="D35" s="388">
        <v>402.55</v>
      </c>
      <c r="E35" s="282">
        <f>+E27</f>
        <v>11500</v>
      </c>
      <c r="F35" s="281">
        <f t="shared" si="2"/>
        <v>4629325</v>
      </c>
    </row>
    <row r="36" spans="1:8" ht="25.5">
      <c r="A36" s="375" t="s">
        <v>123</v>
      </c>
      <c r="B36" s="380" t="s">
        <v>222</v>
      </c>
      <c r="C36" s="362" t="s">
        <v>1</v>
      </c>
      <c r="D36" s="363">
        <v>643.04999999999995</v>
      </c>
      <c r="E36" s="281">
        <v>18650</v>
      </c>
      <c r="F36" s="281">
        <f t="shared" si="2"/>
        <v>11992882.5</v>
      </c>
    </row>
    <row r="37" spans="1:8" ht="25.5">
      <c r="A37" s="375" t="s">
        <v>124</v>
      </c>
      <c r="B37" s="380" t="s">
        <v>221</v>
      </c>
      <c r="C37" s="362" t="s">
        <v>1</v>
      </c>
      <c r="D37" s="363">
        <v>20.28</v>
      </c>
      <c r="E37" s="379">
        <v>18000</v>
      </c>
      <c r="F37" s="281">
        <f t="shared" si="2"/>
        <v>365040</v>
      </c>
    </row>
    <row r="38" spans="1:8" s="384" customFormat="1" ht="18" customHeight="1">
      <c r="A38" s="360" t="s">
        <v>168</v>
      </c>
      <c r="B38" s="383" t="s">
        <v>225</v>
      </c>
      <c r="C38" s="362" t="s">
        <v>1</v>
      </c>
      <c r="D38" s="363">
        <v>2</v>
      </c>
      <c r="E38" s="282">
        <v>274500</v>
      </c>
      <c r="F38" s="282">
        <f t="shared" si="2"/>
        <v>549000</v>
      </c>
      <c r="H38" s="408"/>
    </row>
    <row r="39" spans="1:8" s="384" customFormat="1" ht="18" customHeight="1">
      <c r="A39" s="360" t="s">
        <v>169</v>
      </c>
      <c r="B39" s="383" t="s">
        <v>223</v>
      </c>
      <c r="C39" s="362" t="s">
        <v>1</v>
      </c>
      <c r="D39" s="363"/>
      <c r="E39" s="282"/>
      <c r="F39" s="282">
        <f t="shared" si="2"/>
        <v>0</v>
      </c>
      <c r="H39" s="408"/>
    </row>
    <row r="40" spans="1:8" ht="24" customHeight="1">
      <c r="A40" s="807" t="s">
        <v>167</v>
      </c>
      <c r="B40" s="808"/>
      <c r="C40" s="808"/>
      <c r="D40" s="808"/>
      <c r="E40" s="809"/>
      <c r="F40" s="365">
        <f>SUM(F33:F39)</f>
        <v>57847547.5</v>
      </c>
    </row>
    <row r="41" spans="1:8" ht="15" customHeight="1">
      <c r="A41" s="368"/>
      <c r="B41" s="369"/>
      <c r="C41" s="370"/>
      <c r="D41" s="395"/>
      <c r="E41" s="396"/>
      <c r="F41" s="394"/>
    </row>
    <row r="42" spans="1:8" ht="15" customHeight="1">
      <c r="A42" s="368"/>
      <c r="B42" s="369"/>
      <c r="C42" s="370"/>
      <c r="D42" s="395"/>
      <c r="E42" s="396"/>
      <c r="F42" s="396"/>
    </row>
    <row r="43" spans="1:8" ht="15" customHeight="1">
      <c r="A43" s="804" t="s">
        <v>170</v>
      </c>
      <c r="B43" s="804"/>
      <c r="C43" s="355"/>
    </row>
    <row r="44" spans="1:8" ht="15" customHeight="1"/>
    <row r="45" spans="1:8" s="356" customFormat="1" ht="18" customHeight="1">
      <c r="A45" s="358" t="s">
        <v>30</v>
      </c>
      <c r="B45" s="358" t="s">
        <v>31</v>
      </c>
      <c r="C45" s="358" t="s">
        <v>12</v>
      </c>
      <c r="D45" s="358" t="s">
        <v>32</v>
      </c>
      <c r="E45" s="359" t="s">
        <v>40</v>
      </c>
      <c r="F45" s="359" t="s">
        <v>33</v>
      </c>
      <c r="H45" s="690"/>
    </row>
    <row r="46" spans="1:8" s="356" customFormat="1" ht="38.25" customHeight="1">
      <c r="A46" s="375" t="s">
        <v>9</v>
      </c>
      <c r="B46" s="383" t="s">
        <v>334</v>
      </c>
      <c r="C46" s="362" t="s">
        <v>1</v>
      </c>
      <c r="D46" s="363">
        <v>1490.62</v>
      </c>
      <c r="E46" s="306">
        <v>5700</v>
      </c>
      <c r="F46" s="306">
        <f>+D46*E46</f>
        <v>8496534</v>
      </c>
      <c r="H46" s="690"/>
    </row>
    <row r="47" spans="1:8" s="356" customFormat="1" ht="27" customHeight="1">
      <c r="A47" s="375" t="s">
        <v>66</v>
      </c>
      <c r="B47" s="383" t="s">
        <v>335</v>
      </c>
      <c r="C47" s="362" t="s">
        <v>1</v>
      </c>
      <c r="D47" s="363">
        <v>44.95</v>
      </c>
      <c r="E47" s="306">
        <v>7800</v>
      </c>
      <c r="F47" s="306">
        <f>+D47*E47</f>
        <v>350610</v>
      </c>
      <c r="H47" s="690"/>
    </row>
    <row r="48" spans="1:8" ht="24" customHeight="1">
      <c r="A48" s="807" t="s">
        <v>93</v>
      </c>
      <c r="B48" s="808"/>
      <c r="C48" s="808"/>
      <c r="D48" s="808"/>
      <c r="E48" s="809"/>
      <c r="F48" s="365">
        <f>SUM(F46:F47)</f>
        <v>8847144</v>
      </c>
    </row>
    <row r="49" spans="1:8" ht="15" customHeight="1">
      <c r="A49" s="368"/>
      <c r="B49" s="369"/>
      <c r="C49" s="370"/>
      <c r="D49" s="395"/>
      <c r="E49" s="396"/>
      <c r="F49" s="396"/>
    </row>
    <row r="50" spans="1:8" ht="15" customHeight="1">
      <c r="A50" s="804" t="s">
        <v>226</v>
      </c>
      <c r="B50" s="804"/>
      <c r="C50" s="355"/>
    </row>
    <row r="51" spans="1:8" ht="15" customHeight="1"/>
    <row r="52" spans="1:8" s="356" customFormat="1" ht="18" customHeight="1">
      <c r="A52" s="358" t="s">
        <v>30</v>
      </c>
      <c r="B52" s="358" t="s">
        <v>31</v>
      </c>
      <c r="C52" s="358" t="s">
        <v>12</v>
      </c>
      <c r="D52" s="358" t="s">
        <v>32</v>
      </c>
      <c r="E52" s="359" t="s">
        <v>40</v>
      </c>
      <c r="F52" s="359" t="s">
        <v>33</v>
      </c>
      <c r="H52" s="690"/>
    </row>
    <row r="53" spans="1:8" s="356" customFormat="1" ht="27" customHeight="1">
      <c r="A53" s="375" t="s">
        <v>73</v>
      </c>
      <c r="B53" s="383" t="s">
        <v>228</v>
      </c>
      <c r="C53" s="362" t="s">
        <v>1</v>
      </c>
      <c r="D53" s="363">
        <v>50.46</v>
      </c>
      <c r="E53" s="306">
        <v>38000</v>
      </c>
      <c r="F53" s="306">
        <f>D53*E53</f>
        <v>1917480</v>
      </c>
      <c r="H53" s="690"/>
    </row>
    <row r="54" spans="1:8" s="356" customFormat="1" ht="27" customHeight="1">
      <c r="A54" s="375" t="s">
        <v>74</v>
      </c>
      <c r="B54" s="383" t="s">
        <v>360</v>
      </c>
      <c r="C54" s="362" t="s">
        <v>1</v>
      </c>
      <c r="D54" s="363">
        <v>330.16</v>
      </c>
      <c r="E54" s="281">
        <v>43000</v>
      </c>
      <c r="F54" s="306">
        <f t="shared" ref="F54" si="3">D54*E54</f>
        <v>14196880.000000002</v>
      </c>
      <c r="H54" s="690"/>
    </row>
    <row r="55" spans="1:8" s="356" customFormat="1" ht="27" customHeight="1">
      <c r="A55" s="375" t="s">
        <v>75</v>
      </c>
      <c r="B55" s="383" t="s">
        <v>227</v>
      </c>
      <c r="C55" s="362" t="s">
        <v>1</v>
      </c>
      <c r="D55" s="363">
        <v>146.6</v>
      </c>
      <c r="E55" s="306">
        <v>4000</v>
      </c>
      <c r="F55" s="306">
        <f t="shared" ref="F55:F56" si="4">D55*E55</f>
        <v>586400</v>
      </c>
      <c r="H55" s="690"/>
    </row>
    <row r="56" spans="1:8" s="356" customFormat="1" ht="27" customHeight="1">
      <c r="A56" s="375" t="s">
        <v>407</v>
      </c>
      <c r="B56" s="383" t="s">
        <v>408</v>
      </c>
      <c r="C56" s="362" t="s">
        <v>1</v>
      </c>
      <c r="D56" s="363">
        <v>44.9</v>
      </c>
      <c r="E56" s="281">
        <v>35000</v>
      </c>
      <c r="F56" s="306">
        <f t="shared" si="4"/>
        <v>1571500</v>
      </c>
      <c r="H56" s="690"/>
    </row>
    <row r="57" spans="1:8" ht="24" customHeight="1">
      <c r="A57" s="807" t="s">
        <v>93</v>
      </c>
      <c r="B57" s="808"/>
      <c r="C57" s="808"/>
      <c r="D57" s="808"/>
      <c r="E57" s="809"/>
      <c r="F57" s="365">
        <f>SUM(F53:F56)</f>
        <v>18272260</v>
      </c>
    </row>
    <row r="58" spans="1:8" ht="15" customHeight="1">
      <c r="A58" s="368"/>
      <c r="B58" s="369"/>
      <c r="C58" s="370"/>
      <c r="D58" s="395"/>
      <c r="E58" s="396"/>
      <c r="F58" s="396"/>
    </row>
    <row r="59" spans="1:8" ht="15" customHeight="1">
      <c r="A59" s="804" t="s">
        <v>241</v>
      </c>
      <c r="B59" s="804"/>
      <c r="C59" s="370"/>
      <c r="D59" s="395"/>
      <c r="E59" s="396"/>
      <c r="F59" s="396"/>
    </row>
    <row r="60" spans="1:8" ht="15" customHeight="1">
      <c r="A60" s="368"/>
      <c r="B60" s="369"/>
      <c r="C60" s="370"/>
      <c r="D60" s="395"/>
      <c r="E60" s="396"/>
      <c r="F60" s="396"/>
    </row>
    <row r="61" spans="1:8" s="356" customFormat="1" ht="18" customHeight="1">
      <c r="A61" s="358" t="s">
        <v>30</v>
      </c>
      <c r="B61" s="358" t="s">
        <v>31</v>
      </c>
      <c r="C61" s="358" t="s">
        <v>12</v>
      </c>
      <c r="D61" s="358" t="s">
        <v>32</v>
      </c>
      <c r="E61" s="359" t="s">
        <v>40</v>
      </c>
      <c r="F61" s="359" t="s">
        <v>33</v>
      </c>
      <c r="H61" s="690"/>
    </row>
    <row r="62" spans="1:8" ht="25.5">
      <c r="A62" s="375" t="s">
        <v>11</v>
      </c>
      <c r="B62" s="383" t="s">
        <v>230</v>
      </c>
      <c r="C62" s="381" t="s">
        <v>2</v>
      </c>
      <c r="D62" s="378">
        <v>4.6340000000000003</v>
      </c>
      <c r="E62" s="379">
        <v>1500000</v>
      </c>
      <c r="F62" s="281">
        <f>+D62*E62</f>
        <v>6951000.0000000009</v>
      </c>
    </row>
    <row r="63" spans="1:8" ht="27" customHeight="1">
      <c r="A63" s="375" t="s">
        <v>13</v>
      </c>
      <c r="B63" s="383" t="s">
        <v>365</v>
      </c>
      <c r="C63" s="381" t="s">
        <v>1</v>
      </c>
      <c r="D63" s="348">
        <v>160.36000000000001</v>
      </c>
      <c r="E63" s="233">
        <v>18500</v>
      </c>
      <c r="F63" s="281">
        <f t="shared" ref="F63:F67" si="5">+D63*E63</f>
        <v>2966660.0000000005</v>
      </c>
    </row>
    <row r="64" spans="1:8" ht="25.5">
      <c r="A64" s="375" t="s">
        <v>81</v>
      </c>
      <c r="B64" s="383" t="s">
        <v>231</v>
      </c>
      <c r="C64" s="381" t="s">
        <v>10</v>
      </c>
      <c r="D64" s="348">
        <v>18.28</v>
      </c>
      <c r="E64" s="233">
        <v>9600</v>
      </c>
      <c r="F64" s="281">
        <f t="shared" si="5"/>
        <v>175488</v>
      </c>
    </row>
    <row r="65" spans="1:8" ht="25.5" customHeight="1">
      <c r="A65" s="375" t="s">
        <v>69</v>
      </c>
      <c r="B65" s="383" t="s">
        <v>233</v>
      </c>
      <c r="C65" s="381" t="s">
        <v>1</v>
      </c>
      <c r="D65" s="348">
        <v>136.69</v>
      </c>
      <c r="E65" s="233">
        <v>22500</v>
      </c>
      <c r="F65" s="281">
        <f t="shared" si="5"/>
        <v>3075525</v>
      </c>
    </row>
    <row r="66" spans="1:8" s="384" customFormat="1" ht="18" customHeight="1">
      <c r="A66" s="360" t="s">
        <v>70</v>
      </c>
      <c r="B66" s="397" t="s">
        <v>232</v>
      </c>
      <c r="C66" s="381" t="s">
        <v>10</v>
      </c>
      <c r="D66" s="348">
        <v>175.84</v>
      </c>
      <c r="E66" s="283">
        <v>1500</v>
      </c>
      <c r="F66" s="282">
        <f t="shared" si="5"/>
        <v>263760</v>
      </c>
      <c r="H66" s="408"/>
    </row>
    <row r="67" spans="1:8" s="384" customFormat="1" ht="18" customHeight="1">
      <c r="A67" s="360" t="s">
        <v>171</v>
      </c>
      <c r="B67" s="380" t="s">
        <v>76</v>
      </c>
      <c r="C67" s="362" t="s">
        <v>10</v>
      </c>
      <c r="D67" s="388">
        <v>36</v>
      </c>
      <c r="E67" s="282">
        <v>18500</v>
      </c>
      <c r="F67" s="282">
        <f t="shared" si="5"/>
        <v>666000</v>
      </c>
      <c r="H67" s="408"/>
    </row>
    <row r="68" spans="1:8" ht="24" customHeight="1">
      <c r="A68" s="807" t="s">
        <v>234</v>
      </c>
      <c r="B68" s="808"/>
      <c r="C68" s="808"/>
      <c r="D68" s="808"/>
      <c r="E68" s="809"/>
      <c r="F68" s="365">
        <f>SUM(F62:F67)</f>
        <v>14098433.000000002</v>
      </c>
    </row>
    <row r="69" spans="1:8" ht="15" customHeight="1">
      <c r="A69" s="368"/>
      <c r="B69" s="369"/>
      <c r="C69" s="370"/>
      <c r="D69" s="371"/>
      <c r="E69" s="396"/>
      <c r="F69" s="396"/>
    </row>
    <row r="70" spans="1:8" ht="15" customHeight="1">
      <c r="A70" s="804" t="s">
        <v>242</v>
      </c>
      <c r="B70" s="804"/>
      <c r="C70" s="370"/>
      <c r="D70" s="395"/>
      <c r="E70" s="396"/>
      <c r="F70" s="396"/>
    </row>
    <row r="71" spans="1:8" ht="15" customHeight="1">
      <c r="A71" s="398"/>
      <c r="B71" s="398"/>
      <c r="C71" s="370"/>
      <c r="D71" s="395"/>
      <c r="E71" s="396"/>
      <c r="F71" s="396"/>
    </row>
    <row r="72" spans="1:8" s="356" customFormat="1" ht="18" customHeight="1">
      <c r="A72" s="358" t="s">
        <v>30</v>
      </c>
      <c r="B72" s="358" t="s">
        <v>31</v>
      </c>
      <c r="C72" s="358" t="s">
        <v>12</v>
      </c>
      <c r="D72" s="358" t="s">
        <v>32</v>
      </c>
      <c r="E72" s="359" t="s">
        <v>40</v>
      </c>
      <c r="F72" s="359" t="s">
        <v>33</v>
      </c>
      <c r="H72" s="690"/>
    </row>
    <row r="73" spans="1:8" ht="27" customHeight="1">
      <c r="A73" s="399" t="s">
        <v>14</v>
      </c>
      <c r="B73" s="383" t="s">
        <v>350</v>
      </c>
      <c r="C73" s="381" t="s">
        <v>12</v>
      </c>
      <c r="D73" s="400">
        <v>1</v>
      </c>
      <c r="E73" s="281">
        <v>431000</v>
      </c>
      <c r="F73" s="281">
        <f t="shared" ref="F73:F83" si="6">+D73*E73</f>
        <v>431000</v>
      </c>
    </row>
    <row r="74" spans="1:8" ht="27" customHeight="1">
      <c r="A74" s="399" t="s">
        <v>15</v>
      </c>
      <c r="B74" s="383" t="s">
        <v>370</v>
      </c>
      <c r="C74" s="381" t="s">
        <v>12</v>
      </c>
      <c r="D74" s="400">
        <v>2</v>
      </c>
      <c r="E74" s="281">
        <v>369000</v>
      </c>
      <c r="F74" s="281">
        <f t="shared" si="6"/>
        <v>738000</v>
      </c>
    </row>
    <row r="75" spans="1:8" ht="27" customHeight="1">
      <c r="A75" s="399" t="s">
        <v>15</v>
      </c>
      <c r="B75" s="383" t="s">
        <v>351</v>
      </c>
      <c r="C75" s="381" t="s">
        <v>12</v>
      </c>
      <c r="D75" s="400">
        <v>4</v>
      </c>
      <c r="E75" s="281">
        <v>277000</v>
      </c>
      <c r="F75" s="281">
        <f t="shared" si="6"/>
        <v>1108000</v>
      </c>
    </row>
    <row r="76" spans="1:8" ht="27" customHeight="1">
      <c r="A76" s="399" t="s">
        <v>20</v>
      </c>
      <c r="B76" s="383" t="s">
        <v>352</v>
      </c>
      <c r="C76" s="381" t="s">
        <v>12</v>
      </c>
      <c r="D76" s="400">
        <v>17</v>
      </c>
      <c r="E76" s="281">
        <v>277000</v>
      </c>
      <c r="F76" s="281">
        <f t="shared" si="6"/>
        <v>4709000</v>
      </c>
    </row>
    <row r="77" spans="1:8" ht="27" customHeight="1">
      <c r="A77" s="399" t="s">
        <v>71</v>
      </c>
      <c r="B77" s="383" t="s">
        <v>353</v>
      </c>
      <c r="C77" s="381" t="s">
        <v>12</v>
      </c>
      <c r="D77" s="400">
        <v>2</v>
      </c>
      <c r="E77" s="281">
        <v>246000</v>
      </c>
      <c r="F77" s="281">
        <f t="shared" si="6"/>
        <v>492000</v>
      </c>
    </row>
    <row r="78" spans="1:8" ht="27" customHeight="1">
      <c r="A78" s="399" t="s">
        <v>72</v>
      </c>
      <c r="B78" s="383" t="s">
        <v>354</v>
      </c>
      <c r="C78" s="381" t="s">
        <v>12</v>
      </c>
      <c r="D78" s="400">
        <v>6</v>
      </c>
      <c r="E78" s="281">
        <v>234000</v>
      </c>
      <c r="F78" s="281">
        <f t="shared" si="6"/>
        <v>1404000</v>
      </c>
    </row>
    <row r="79" spans="1:8" ht="27" customHeight="1">
      <c r="A79" s="399" t="s">
        <v>91</v>
      </c>
      <c r="B79" s="383" t="s">
        <v>355</v>
      </c>
      <c r="C79" s="381" t="s">
        <v>12</v>
      </c>
      <c r="D79" s="400">
        <v>21</v>
      </c>
      <c r="E79" s="281">
        <v>220000</v>
      </c>
      <c r="F79" s="281">
        <f t="shared" si="6"/>
        <v>4620000</v>
      </c>
    </row>
    <row r="80" spans="1:8" ht="27" customHeight="1">
      <c r="A80" s="399" t="s">
        <v>243</v>
      </c>
      <c r="B80" s="383" t="s">
        <v>356</v>
      </c>
      <c r="C80" s="381" t="s">
        <v>12</v>
      </c>
      <c r="D80" s="400">
        <v>4</v>
      </c>
      <c r="E80" s="281">
        <v>165000</v>
      </c>
      <c r="F80" s="281">
        <f t="shared" si="6"/>
        <v>660000</v>
      </c>
    </row>
    <row r="81" spans="1:8" ht="27" customHeight="1">
      <c r="A81" s="399" t="s">
        <v>244</v>
      </c>
      <c r="B81" s="383" t="s">
        <v>357</v>
      </c>
      <c r="C81" s="381" t="s">
        <v>12</v>
      </c>
      <c r="D81" s="400">
        <v>2</v>
      </c>
      <c r="E81" s="281">
        <v>125000</v>
      </c>
      <c r="F81" s="281">
        <f t="shared" si="6"/>
        <v>250000</v>
      </c>
    </row>
    <row r="82" spans="1:8" ht="27" customHeight="1">
      <c r="A82" s="399" t="s">
        <v>305</v>
      </c>
      <c r="B82" s="383" t="s">
        <v>358</v>
      </c>
      <c r="C82" s="381" t="s">
        <v>12</v>
      </c>
      <c r="D82" s="400">
        <v>2</v>
      </c>
      <c r="E82" s="281">
        <v>60000</v>
      </c>
      <c r="F82" s="281">
        <f t="shared" si="6"/>
        <v>120000</v>
      </c>
    </row>
    <row r="83" spans="1:8" ht="26.25" customHeight="1">
      <c r="A83" s="399" t="s">
        <v>309</v>
      </c>
      <c r="B83" s="383" t="s">
        <v>359</v>
      </c>
      <c r="C83" s="381" t="s">
        <v>12</v>
      </c>
      <c r="D83" s="400">
        <v>2</v>
      </c>
      <c r="E83" s="281">
        <v>37500</v>
      </c>
      <c r="F83" s="281">
        <f t="shared" si="6"/>
        <v>75000</v>
      </c>
    </row>
    <row r="84" spans="1:8" ht="24" customHeight="1">
      <c r="A84" s="807" t="s">
        <v>95</v>
      </c>
      <c r="B84" s="808"/>
      <c r="C84" s="808"/>
      <c r="D84" s="808"/>
      <c r="E84" s="809"/>
      <c r="F84" s="365">
        <f>SUM(F73:F83)</f>
        <v>14607000</v>
      </c>
    </row>
    <row r="85" spans="1:8" ht="15" customHeight="1">
      <c r="A85" s="398"/>
      <c r="B85" s="398"/>
      <c r="C85" s="370"/>
      <c r="D85" s="395"/>
      <c r="E85" s="396"/>
      <c r="F85" s="396"/>
    </row>
    <row r="86" spans="1:8" ht="15" customHeight="1">
      <c r="A86" s="804" t="s">
        <v>245</v>
      </c>
      <c r="B86" s="804"/>
      <c r="C86" s="370"/>
      <c r="D86" s="395"/>
      <c r="E86" s="396"/>
      <c r="F86" s="396"/>
    </row>
    <row r="87" spans="1:8" ht="15" customHeight="1">
      <c r="A87" s="398"/>
      <c r="B87" s="398"/>
      <c r="C87" s="370"/>
      <c r="D87" s="395"/>
      <c r="E87" s="396"/>
      <c r="F87" s="396"/>
    </row>
    <row r="88" spans="1:8" s="356" customFormat="1" ht="18" customHeight="1">
      <c r="A88" s="358" t="s">
        <v>30</v>
      </c>
      <c r="B88" s="358" t="s">
        <v>31</v>
      </c>
      <c r="C88" s="358" t="s">
        <v>12</v>
      </c>
      <c r="D88" s="358" t="s">
        <v>32</v>
      </c>
      <c r="E88" s="359" t="s">
        <v>40</v>
      </c>
      <c r="F88" s="359" t="s">
        <v>33</v>
      </c>
      <c r="H88" s="690"/>
    </row>
    <row r="89" spans="1:8" ht="27" customHeight="1">
      <c r="A89" s="399" t="s">
        <v>21</v>
      </c>
      <c r="B89" s="383" t="s">
        <v>236</v>
      </c>
      <c r="C89" s="381" t="s">
        <v>1</v>
      </c>
      <c r="D89" s="400">
        <v>22.88</v>
      </c>
      <c r="E89" s="281">
        <v>160000</v>
      </c>
      <c r="F89" s="281">
        <f>+D89*E89</f>
        <v>3660800</v>
      </c>
    </row>
    <row r="90" spans="1:8" ht="27" customHeight="1">
      <c r="A90" s="399" t="s">
        <v>22</v>
      </c>
      <c r="B90" s="383" t="s">
        <v>237</v>
      </c>
      <c r="C90" s="381" t="s">
        <v>1</v>
      </c>
      <c r="D90" s="400">
        <v>42.2</v>
      </c>
      <c r="E90" s="281">
        <v>160000</v>
      </c>
      <c r="F90" s="281">
        <f t="shared" ref="F90:F96" si="7">+D90*E90</f>
        <v>6752000</v>
      </c>
    </row>
    <row r="91" spans="1:8" ht="27" customHeight="1">
      <c r="A91" s="399" t="s">
        <v>363</v>
      </c>
      <c r="B91" s="383" t="s">
        <v>307</v>
      </c>
      <c r="C91" s="381" t="s">
        <v>1</v>
      </c>
      <c r="D91" s="400">
        <v>3.08</v>
      </c>
      <c r="E91" s="281">
        <v>160000</v>
      </c>
      <c r="F91" s="281">
        <f t="shared" si="7"/>
        <v>492800</v>
      </c>
    </row>
    <row r="92" spans="1:8" ht="27" customHeight="1">
      <c r="A92" s="399" t="s">
        <v>205</v>
      </c>
      <c r="B92" s="383" t="s">
        <v>238</v>
      </c>
      <c r="C92" s="381" t="s">
        <v>1</v>
      </c>
      <c r="D92" s="400">
        <v>2.42</v>
      </c>
      <c r="E92" s="281">
        <v>160000</v>
      </c>
      <c r="F92" s="281">
        <f t="shared" si="7"/>
        <v>387200</v>
      </c>
    </row>
    <row r="93" spans="1:8" ht="27" customHeight="1">
      <c r="A93" s="399" t="s">
        <v>206</v>
      </c>
      <c r="B93" s="383" t="s">
        <v>239</v>
      </c>
      <c r="C93" s="381" t="s">
        <v>1</v>
      </c>
      <c r="D93" s="400">
        <v>1.43</v>
      </c>
      <c r="E93" s="281">
        <v>160000</v>
      </c>
      <c r="F93" s="281">
        <f t="shared" si="7"/>
        <v>228800</v>
      </c>
    </row>
    <row r="94" spans="1:8" ht="27" customHeight="1">
      <c r="A94" s="399" t="s">
        <v>306</v>
      </c>
      <c r="B94" s="383" t="s">
        <v>240</v>
      </c>
      <c r="C94" s="381" t="s">
        <v>1</v>
      </c>
      <c r="D94" s="400">
        <v>0.98</v>
      </c>
      <c r="E94" s="281">
        <v>160000</v>
      </c>
      <c r="F94" s="281">
        <f t="shared" ref="F94:F95" si="8">+D94*E94</f>
        <v>156800</v>
      </c>
    </row>
    <row r="95" spans="1:8" ht="27" customHeight="1">
      <c r="A95" s="399" t="s">
        <v>405</v>
      </c>
      <c r="B95" s="383" t="s">
        <v>409</v>
      </c>
      <c r="C95" s="381" t="s">
        <v>1</v>
      </c>
      <c r="D95" s="400">
        <v>2.46</v>
      </c>
      <c r="E95" s="281">
        <v>160000</v>
      </c>
      <c r="F95" s="281">
        <f t="shared" si="8"/>
        <v>393600</v>
      </c>
    </row>
    <row r="96" spans="1:8" ht="27" customHeight="1">
      <c r="A96" s="399" t="s">
        <v>406</v>
      </c>
      <c r="B96" s="383" t="s">
        <v>410</v>
      </c>
      <c r="C96" s="381" t="s">
        <v>1</v>
      </c>
      <c r="D96" s="400">
        <v>3.69</v>
      </c>
      <c r="E96" s="281">
        <v>160000</v>
      </c>
      <c r="F96" s="281">
        <f t="shared" si="7"/>
        <v>590400</v>
      </c>
    </row>
    <row r="97" spans="1:8" ht="24" customHeight="1">
      <c r="A97" s="807" t="s">
        <v>235</v>
      </c>
      <c r="B97" s="808"/>
      <c r="C97" s="808"/>
      <c r="D97" s="808"/>
      <c r="E97" s="809"/>
      <c r="F97" s="365">
        <f>SUM(F89:F96)</f>
        <v>12662400</v>
      </c>
    </row>
    <row r="98" spans="1:8" ht="15" customHeight="1">
      <c r="A98" s="398"/>
      <c r="B98" s="398"/>
      <c r="C98" s="370"/>
      <c r="D98" s="395"/>
      <c r="E98" s="396"/>
      <c r="F98" s="396"/>
    </row>
    <row r="99" spans="1:8" ht="15" customHeight="1">
      <c r="A99" s="804" t="s">
        <v>248</v>
      </c>
      <c r="B99" s="804"/>
      <c r="C99" s="370"/>
      <c r="D99" s="395"/>
      <c r="E99" s="396"/>
      <c r="F99" s="396"/>
    </row>
    <row r="100" spans="1:8" ht="15" customHeight="1">
      <c r="A100" s="398"/>
      <c r="B100" s="398"/>
      <c r="C100" s="370"/>
      <c r="D100" s="395"/>
      <c r="E100" s="396"/>
      <c r="F100" s="396"/>
    </row>
    <row r="101" spans="1:8" s="356" customFormat="1" ht="18" customHeight="1">
      <c r="A101" s="358" t="s">
        <v>30</v>
      </c>
      <c r="B101" s="358" t="s">
        <v>31</v>
      </c>
      <c r="C101" s="358" t="s">
        <v>12</v>
      </c>
      <c r="D101" s="358" t="s">
        <v>32</v>
      </c>
      <c r="E101" s="359" t="s">
        <v>40</v>
      </c>
      <c r="F101" s="359" t="s">
        <v>33</v>
      </c>
      <c r="H101" s="690"/>
    </row>
    <row r="102" spans="1:8" s="356" customFormat="1" ht="18" customHeight="1">
      <c r="A102" s="401" t="s">
        <v>173</v>
      </c>
      <c r="B102" s="402" t="s">
        <v>191</v>
      </c>
      <c r="C102" s="381" t="s">
        <v>1</v>
      </c>
      <c r="D102" s="381">
        <v>1345.18</v>
      </c>
      <c r="E102" s="306">
        <v>1000</v>
      </c>
      <c r="F102" s="403">
        <f>D102*E102</f>
        <v>1345180</v>
      </c>
      <c r="H102" s="690"/>
    </row>
    <row r="103" spans="1:8" s="356" customFormat="1" ht="27" customHeight="1">
      <c r="A103" s="399" t="s">
        <v>174</v>
      </c>
      <c r="B103" s="404" t="s">
        <v>246</v>
      </c>
      <c r="C103" s="381" t="s">
        <v>1</v>
      </c>
      <c r="D103" s="381">
        <v>361.43</v>
      </c>
      <c r="E103" s="306">
        <v>4000</v>
      </c>
      <c r="F103" s="403">
        <f t="shared" ref="F103:F106" si="9">D103*E103</f>
        <v>1445720</v>
      </c>
      <c r="H103" s="690"/>
    </row>
    <row r="104" spans="1:8" s="356" customFormat="1" ht="27" customHeight="1">
      <c r="A104" s="399" t="s">
        <v>175</v>
      </c>
      <c r="B104" s="404" t="s">
        <v>247</v>
      </c>
      <c r="C104" s="381" t="s">
        <v>1</v>
      </c>
      <c r="D104" s="381">
        <v>983.75</v>
      </c>
      <c r="E104" s="306">
        <v>3000</v>
      </c>
      <c r="F104" s="403">
        <f t="shared" si="9"/>
        <v>2951250</v>
      </c>
      <c r="H104" s="690"/>
    </row>
    <row r="105" spans="1:8" ht="27" customHeight="1">
      <c r="A105" s="399" t="s">
        <v>176</v>
      </c>
      <c r="B105" s="380" t="s">
        <v>310</v>
      </c>
      <c r="C105" s="405" t="s">
        <v>1</v>
      </c>
      <c r="D105" s="406">
        <v>446.89</v>
      </c>
      <c r="E105" s="283">
        <v>6000</v>
      </c>
      <c r="F105" s="403">
        <f t="shared" si="9"/>
        <v>2681340</v>
      </c>
    </row>
    <row r="106" spans="1:8" ht="27" customHeight="1">
      <c r="A106" s="399" t="s">
        <v>249</v>
      </c>
      <c r="B106" s="383" t="s">
        <v>117</v>
      </c>
      <c r="C106" s="362" t="s">
        <v>1</v>
      </c>
      <c r="D106" s="363">
        <v>37.33</v>
      </c>
      <c r="E106" s="281">
        <v>32000</v>
      </c>
      <c r="F106" s="403">
        <f t="shared" si="9"/>
        <v>1194560</v>
      </c>
    </row>
    <row r="107" spans="1:8" ht="24" customHeight="1">
      <c r="A107" s="807" t="s">
        <v>94</v>
      </c>
      <c r="B107" s="808"/>
      <c r="C107" s="808"/>
      <c r="D107" s="808"/>
      <c r="E107" s="809"/>
      <c r="F107" s="365">
        <f>SUM(F102:F106)</f>
        <v>9618050</v>
      </c>
    </row>
    <row r="108" spans="1:8" ht="15" customHeight="1"/>
    <row r="109" spans="1:8" ht="15" customHeight="1">
      <c r="A109" s="804" t="s">
        <v>250</v>
      </c>
      <c r="B109" s="804"/>
      <c r="C109" s="370"/>
      <c r="D109" s="395"/>
      <c r="E109" s="396"/>
      <c r="F109" s="396"/>
    </row>
    <row r="110" spans="1:8" ht="15" customHeight="1">
      <c r="A110" s="398"/>
      <c r="B110" s="398"/>
      <c r="C110" s="370"/>
      <c r="D110" s="395"/>
      <c r="E110" s="396"/>
      <c r="F110" s="396"/>
    </row>
    <row r="111" spans="1:8" s="356" customFormat="1" ht="18" customHeight="1">
      <c r="A111" s="358" t="s">
        <v>30</v>
      </c>
      <c r="B111" s="358" t="s">
        <v>31</v>
      </c>
      <c r="C111" s="358" t="s">
        <v>12</v>
      </c>
      <c r="D111" s="358" t="s">
        <v>32</v>
      </c>
      <c r="E111" s="359" t="s">
        <v>40</v>
      </c>
      <c r="F111" s="359" t="s">
        <v>33</v>
      </c>
      <c r="H111" s="690"/>
    </row>
    <row r="112" spans="1:8" ht="27" customHeight="1">
      <c r="A112" s="399" t="s">
        <v>26</v>
      </c>
      <c r="B112" s="380" t="s">
        <v>253</v>
      </c>
      <c r="C112" s="362" t="s">
        <v>129</v>
      </c>
      <c r="D112" s="407">
        <v>1</v>
      </c>
      <c r="E112" s="233">
        <v>1500000</v>
      </c>
      <c r="F112" s="233">
        <f>+D112*E112</f>
        <v>1500000</v>
      </c>
    </row>
    <row r="113" spans="1:8" ht="27" customHeight="1">
      <c r="A113" s="399" t="s">
        <v>27</v>
      </c>
      <c r="B113" s="380" t="s">
        <v>254</v>
      </c>
      <c r="C113" s="362" t="s">
        <v>12</v>
      </c>
      <c r="D113" s="407">
        <v>4</v>
      </c>
      <c r="E113" s="233">
        <v>281000</v>
      </c>
      <c r="F113" s="233">
        <f t="shared" ref="F113:F115" si="10">+D113*E113</f>
        <v>1124000</v>
      </c>
    </row>
    <row r="114" spans="1:8" ht="27" customHeight="1">
      <c r="A114" s="399" t="s">
        <v>28</v>
      </c>
      <c r="B114" s="380" t="s">
        <v>255</v>
      </c>
      <c r="C114" s="362" t="s">
        <v>12</v>
      </c>
      <c r="D114" s="407">
        <v>2</v>
      </c>
      <c r="E114" s="233">
        <v>442500</v>
      </c>
      <c r="F114" s="233">
        <f t="shared" si="10"/>
        <v>885000</v>
      </c>
    </row>
    <row r="115" spans="1:8" ht="27" customHeight="1">
      <c r="A115" s="399" t="s">
        <v>29</v>
      </c>
      <c r="B115" s="380" t="s">
        <v>256</v>
      </c>
      <c r="C115" s="360" t="s">
        <v>12</v>
      </c>
      <c r="D115" s="407">
        <v>2</v>
      </c>
      <c r="E115" s="281">
        <v>88500</v>
      </c>
      <c r="F115" s="233">
        <f t="shared" si="10"/>
        <v>177000</v>
      </c>
    </row>
    <row r="116" spans="1:8" ht="24" customHeight="1">
      <c r="A116" s="807" t="s">
        <v>172</v>
      </c>
      <c r="B116" s="808"/>
      <c r="C116" s="808"/>
      <c r="D116" s="808"/>
      <c r="E116" s="809"/>
      <c r="F116" s="365">
        <f>SUM(F112:F115)</f>
        <v>3686000</v>
      </c>
    </row>
    <row r="117" spans="1:8" ht="15" customHeight="1"/>
    <row r="118" spans="1:8" ht="15" customHeight="1">
      <c r="A118" s="804" t="s">
        <v>251</v>
      </c>
      <c r="B118" s="804"/>
      <c r="C118" s="370"/>
      <c r="D118" s="395"/>
      <c r="E118" s="396"/>
      <c r="F118" s="396"/>
    </row>
    <row r="119" spans="1:8" ht="15" customHeight="1">
      <c r="A119" s="398"/>
      <c r="B119" s="398"/>
      <c r="C119" s="370"/>
      <c r="D119" s="395"/>
      <c r="E119" s="396"/>
      <c r="F119" s="396"/>
    </row>
    <row r="120" spans="1:8" s="356" customFormat="1" ht="18" customHeight="1">
      <c r="A120" s="358" t="s">
        <v>30</v>
      </c>
      <c r="B120" s="358" t="s">
        <v>31</v>
      </c>
      <c r="C120" s="358" t="s">
        <v>12</v>
      </c>
      <c r="D120" s="358" t="s">
        <v>32</v>
      </c>
      <c r="E120" s="359" t="s">
        <v>40</v>
      </c>
      <c r="F120" s="359" t="s">
        <v>33</v>
      </c>
      <c r="H120" s="690"/>
    </row>
    <row r="121" spans="1:8" ht="27" customHeight="1">
      <c r="A121" s="399" t="s">
        <v>261</v>
      </c>
      <c r="B121" s="383" t="s">
        <v>269</v>
      </c>
      <c r="C121" s="381" t="s">
        <v>10</v>
      </c>
      <c r="D121" s="406">
        <v>75</v>
      </c>
      <c r="E121" s="233">
        <v>8500</v>
      </c>
      <c r="F121" s="283">
        <f t="shared" ref="F121:F124" si="11">+D121*E121</f>
        <v>637500</v>
      </c>
    </row>
    <row r="122" spans="1:8" s="384" customFormat="1" ht="18" customHeight="1">
      <c r="A122" s="401" t="s">
        <v>262</v>
      </c>
      <c r="B122" s="383" t="s">
        <v>270</v>
      </c>
      <c r="C122" s="381" t="s">
        <v>12</v>
      </c>
      <c r="D122" s="406">
        <v>1</v>
      </c>
      <c r="E122" s="283">
        <v>1750000</v>
      </c>
      <c r="F122" s="283">
        <f t="shared" si="11"/>
        <v>1750000</v>
      </c>
      <c r="H122" s="408"/>
    </row>
    <row r="123" spans="1:8" ht="27" customHeight="1">
      <c r="A123" s="399" t="s">
        <v>263</v>
      </c>
      <c r="B123" s="383" t="s">
        <v>271</v>
      </c>
      <c r="C123" s="381" t="s">
        <v>12</v>
      </c>
      <c r="D123" s="406">
        <v>7</v>
      </c>
      <c r="E123" s="233">
        <v>224500</v>
      </c>
      <c r="F123" s="283">
        <f t="shared" si="11"/>
        <v>1571500</v>
      </c>
    </row>
    <row r="124" spans="1:8" s="384" customFormat="1" ht="18" customHeight="1">
      <c r="A124" s="401" t="s">
        <v>273</v>
      </c>
      <c r="B124" s="380" t="s">
        <v>272</v>
      </c>
      <c r="C124" s="381" t="s">
        <v>129</v>
      </c>
      <c r="D124" s="363">
        <v>1</v>
      </c>
      <c r="E124" s="282">
        <v>3475000</v>
      </c>
      <c r="F124" s="283">
        <f t="shared" si="11"/>
        <v>3475000</v>
      </c>
      <c r="H124" s="408"/>
    </row>
    <row r="125" spans="1:8" ht="24" customHeight="1">
      <c r="A125" s="807" t="s">
        <v>177</v>
      </c>
      <c r="B125" s="808"/>
      <c r="C125" s="808"/>
      <c r="D125" s="808"/>
      <c r="E125" s="809"/>
      <c r="F125" s="365">
        <f>SUM(F121:F124)</f>
        <v>7434000</v>
      </c>
    </row>
    <row r="126" spans="1:8" ht="15" customHeight="1"/>
    <row r="127" spans="1:8" ht="15" customHeight="1">
      <c r="A127" s="804" t="s">
        <v>252</v>
      </c>
      <c r="B127" s="804"/>
      <c r="C127" s="370"/>
      <c r="D127" s="395"/>
      <c r="E127" s="396"/>
      <c r="F127" s="396"/>
    </row>
    <row r="128" spans="1:8" ht="15" customHeight="1">
      <c r="A128" s="398"/>
      <c r="B128" s="398"/>
      <c r="C128" s="370"/>
      <c r="D128" s="395"/>
      <c r="E128" s="396"/>
      <c r="F128" s="396"/>
    </row>
    <row r="129" spans="1:8" s="356" customFormat="1" ht="18" customHeight="1">
      <c r="A129" s="358" t="s">
        <v>30</v>
      </c>
      <c r="B129" s="358" t="s">
        <v>31</v>
      </c>
      <c r="C129" s="358" t="s">
        <v>12</v>
      </c>
      <c r="D129" s="358" t="s">
        <v>32</v>
      </c>
      <c r="E129" s="359" t="s">
        <v>40</v>
      </c>
      <c r="F129" s="359" t="s">
        <v>33</v>
      </c>
      <c r="H129" s="690"/>
    </row>
    <row r="130" spans="1:8" ht="27" customHeight="1">
      <c r="A130" s="399" t="s">
        <v>264</v>
      </c>
      <c r="B130" s="383" t="s">
        <v>308</v>
      </c>
      <c r="C130" s="362" t="s">
        <v>10</v>
      </c>
      <c r="D130" s="407">
        <v>450</v>
      </c>
      <c r="E130" s="233">
        <v>4500</v>
      </c>
      <c r="F130" s="233">
        <f>+D130*E130</f>
        <v>2025000</v>
      </c>
    </row>
    <row r="131" spans="1:8" ht="27" customHeight="1">
      <c r="A131" s="399" t="s">
        <v>265</v>
      </c>
      <c r="B131" s="383" t="s">
        <v>258</v>
      </c>
      <c r="C131" s="362" t="s">
        <v>12</v>
      </c>
      <c r="D131" s="407">
        <v>31</v>
      </c>
      <c r="E131" s="233">
        <v>20000</v>
      </c>
      <c r="F131" s="233">
        <f t="shared" ref="F131:F134" si="12">+D131*E131</f>
        <v>620000</v>
      </c>
    </row>
    <row r="132" spans="1:8" ht="27" customHeight="1">
      <c r="A132" s="399" t="s">
        <v>266</v>
      </c>
      <c r="B132" s="383" t="s">
        <v>259</v>
      </c>
      <c r="C132" s="362" t="s">
        <v>12</v>
      </c>
      <c r="D132" s="407">
        <v>4</v>
      </c>
      <c r="E132" s="233">
        <v>25000</v>
      </c>
      <c r="F132" s="233">
        <f t="shared" si="12"/>
        <v>100000</v>
      </c>
    </row>
    <row r="133" spans="1:8" ht="27" customHeight="1">
      <c r="A133" s="399" t="s">
        <v>267</v>
      </c>
      <c r="B133" s="380" t="s">
        <v>260</v>
      </c>
      <c r="C133" s="362" t="s">
        <v>12</v>
      </c>
      <c r="D133" s="407">
        <v>32</v>
      </c>
      <c r="E133" s="233">
        <v>17500</v>
      </c>
      <c r="F133" s="233">
        <f t="shared" si="12"/>
        <v>560000</v>
      </c>
    </row>
    <row r="134" spans="1:8" s="384" customFormat="1" ht="18" customHeight="1">
      <c r="A134" s="401" t="s">
        <v>268</v>
      </c>
      <c r="B134" s="380" t="s">
        <v>25</v>
      </c>
      <c r="C134" s="362" t="s">
        <v>12</v>
      </c>
      <c r="D134" s="407">
        <v>35</v>
      </c>
      <c r="E134" s="283">
        <v>28000</v>
      </c>
      <c r="F134" s="283">
        <f t="shared" si="12"/>
        <v>980000</v>
      </c>
      <c r="H134" s="408"/>
    </row>
    <row r="135" spans="1:8" ht="24" customHeight="1">
      <c r="A135" s="807" t="s">
        <v>178</v>
      </c>
      <c r="B135" s="808"/>
      <c r="C135" s="808"/>
      <c r="D135" s="808"/>
      <c r="E135" s="809"/>
      <c r="F135" s="365">
        <f>SUM(F130:F134)</f>
        <v>4285000</v>
      </c>
    </row>
    <row r="138" spans="1:8" ht="15.75">
      <c r="A138" s="812" t="s">
        <v>181</v>
      </c>
      <c r="B138" s="812"/>
    </row>
    <row r="139" spans="1:8" ht="18" customHeight="1"/>
    <row r="140" spans="1:8" ht="18" customHeight="1">
      <c r="A140" s="811" t="str">
        <f>+A5</f>
        <v>SERIE N° 1 : INSTALLATION</v>
      </c>
      <c r="B140" s="811"/>
      <c r="F140" s="357">
        <f>F9</f>
        <v>750000</v>
      </c>
    </row>
    <row r="141" spans="1:8" ht="18" customHeight="1">
      <c r="A141" s="811" t="str">
        <f>+A11</f>
        <v>SERIE N° 2 : TERRASSEMENT</v>
      </c>
      <c r="B141" s="811"/>
      <c r="F141" s="357">
        <f>F17</f>
        <v>319890</v>
      </c>
    </row>
    <row r="142" spans="1:8" ht="18" customHeight="1">
      <c r="A142" s="811" t="str">
        <f>+A19</f>
        <v xml:space="preserve">SERIE N° 3 : BETONS ET MACONNERIES EN INFRASTRUCTURE </v>
      </c>
      <c r="B142" s="811"/>
      <c r="F142" s="357">
        <f>F28</f>
        <v>22530353.600000001</v>
      </c>
    </row>
    <row r="143" spans="1:8" ht="18" customHeight="1">
      <c r="A143" s="811" t="str">
        <f>+A30</f>
        <v>SERIE N° 4 : BETONS ET MACONNERIES EN SUPERSTRUCTURE</v>
      </c>
      <c r="B143" s="811"/>
      <c r="F143" s="357">
        <f>F40</f>
        <v>57847547.5</v>
      </c>
    </row>
    <row r="144" spans="1:8" ht="18" customHeight="1">
      <c r="A144" s="811" t="str">
        <f>+A43</f>
        <v>SERIE N° 5: ENDUIT</v>
      </c>
      <c r="B144" s="811"/>
      <c r="F144" s="357">
        <f>F48</f>
        <v>8847144</v>
      </c>
    </row>
    <row r="145" spans="1:8" ht="18" customHeight="1">
      <c r="A145" s="409" t="str">
        <f>A50</f>
        <v>SERIE N° 6: REVETEMENT</v>
      </c>
      <c r="B145" s="409"/>
      <c r="F145" s="357">
        <f>F57</f>
        <v>18272260</v>
      </c>
    </row>
    <row r="146" spans="1:8" ht="18" customHeight="1">
      <c r="A146" s="811" t="str">
        <f>+A59</f>
        <v xml:space="preserve">SERIE N° 7: CHARPENTE - COUVERTURE - PLAFONNAGE </v>
      </c>
      <c r="B146" s="811"/>
      <c r="F146" s="357">
        <f>F68</f>
        <v>14098433.000000002</v>
      </c>
    </row>
    <row r="147" spans="1:8" ht="18" customHeight="1">
      <c r="A147" s="811" t="str">
        <f>+A70</f>
        <v>SERIE N° 8: MENUISERIE BOIS</v>
      </c>
      <c r="B147" s="811"/>
      <c r="F147" s="357">
        <f>F84</f>
        <v>14607000</v>
      </c>
    </row>
    <row r="148" spans="1:8" ht="18" customHeight="1">
      <c r="A148" s="811" t="str">
        <f>A86</f>
        <v>SERIE N° 9: MENUISERIE METALLIQUE</v>
      </c>
      <c r="B148" s="811"/>
      <c r="F148" s="357">
        <f>F97</f>
        <v>12662400</v>
      </c>
    </row>
    <row r="149" spans="1:8" ht="18" customHeight="1">
      <c r="A149" s="811" t="str">
        <f>+A99</f>
        <v>SERIE N° 10: PEINTURE ET VITRERIE</v>
      </c>
      <c r="B149" s="811"/>
      <c r="F149" s="357">
        <f>F107</f>
        <v>9618050</v>
      </c>
    </row>
    <row r="150" spans="1:8" ht="18" customHeight="1">
      <c r="A150" s="811" t="str">
        <f>+A109</f>
        <v>SERIE N° 11: PLOMBERIE SANITAIRE</v>
      </c>
      <c r="B150" s="811"/>
      <c r="F150" s="357">
        <f>F116</f>
        <v>3686000</v>
      </c>
    </row>
    <row r="151" spans="1:8" ht="18" customHeight="1">
      <c r="A151" s="811" t="str">
        <f>+A118</f>
        <v>SERIE N° 12: ASSAINISSEMENT</v>
      </c>
      <c r="B151" s="811"/>
      <c r="F151" s="357">
        <f>F125</f>
        <v>7434000</v>
      </c>
    </row>
    <row r="152" spans="1:8" ht="18" customHeight="1">
      <c r="A152" s="811" t="str">
        <f>+A127</f>
        <v>SERIE N° 13: ELECTRICITE</v>
      </c>
      <c r="B152" s="811"/>
      <c r="F152" s="357">
        <f>F135</f>
        <v>4285000</v>
      </c>
    </row>
    <row r="153" spans="1:8" ht="26.25" customHeight="1"/>
    <row r="154" spans="1:8" ht="20.25" customHeight="1">
      <c r="A154" s="813" t="s">
        <v>64</v>
      </c>
      <c r="B154" s="814"/>
      <c r="C154" s="814"/>
      <c r="D154" s="814"/>
      <c r="E154" s="815"/>
      <c r="F154" s="343">
        <f>SUM(F140:F153)</f>
        <v>174958078.09999999</v>
      </c>
    </row>
    <row r="156" spans="1:8" ht="27.75" customHeight="1">
      <c r="A156" s="802" t="s">
        <v>412</v>
      </c>
      <c r="B156" s="803"/>
      <c r="C156" s="803"/>
      <c r="D156" s="803"/>
      <c r="E156" s="803"/>
      <c r="F156" s="803"/>
    </row>
    <row r="157" spans="1:8" ht="18" customHeight="1">
      <c r="F157" s="410"/>
      <c r="H157" s="723"/>
    </row>
    <row r="159" spans="1:8">
      <c r="E159" s="354">
        <v>0.35</v>
      </c>
      <c r="F159" s="411">
        <f>F154*0.35</f>
        <v>61235327.334999993</v>
      </c>
    </row>
    <row r="160" spans="1:8">
      <c r="E160" s="354"/>
      <c r="F160" s="411"/>
    </row>
    <row r="161" spans="5:6">
      <c r="E161" s="354">
        <v>0.33</v>
      </c>
      <c r="F161" s="411">
        <f>F154*E161</f>
        <v>57736165.773000002</v>
      </c>
    </row>
    <row r="162" spans="5:6">
      <c r="E162" s="354"/>
      <c r="F162" s="411"/>
    </row>
    <row r="163" spans="5:6">
      <c r="E163" s="354">
        <v>0.25</v>
      </c>
      <c r="F163" s="411">
        <f>F154*E163</f>
        <v>43739519.524999999</v>
      </c>
    </row>
    <row r="165" spans="5:6">
      <c r="E165" s="354">
        <v>7.0000000000000007E-2</v>
      </c>
      <c r="F165" s="411">
        <f>F154*E165</f>
        <v>12247065.467</v>
      </c>
    </row>
    <row r="167" spans="5:6">
      <c r="F167" s="704">
        <f>SUM(F159:F165)</f>
        <v>174958078.09999999</v>
      </c>
    </row>
  </sheetData>
  <mergeCells count="44">
    <mergeCell ref="A154:E154"/>
    <mergeCell ref="A147:B147"/>
    <mergeCell ref="A148:B148"/>
    <mergeCell ref="A149:B149"/>
    <mergeCell ref="A150:B150"/>
    <mergeCell ref="A151:B151"/>
    <mergeCell ref="A152:B152"/>
    <mergeCell ref="A86:B86"/>
    <mergeCell ref="A97:E97"/>
    <mergeCell ref="A99:B99"/>
    <mergeCell ref="A107:E107"/>
    <mergeCell ref="A146:B146"/>
    <mergeCell ref="A116:E116"/>
    <mergeCell ref="A118:B118"/>
    <mergeCell ref="A125:E125"/>
    <mergeCell ref="A127:B127"/>
    <mergeCell ref="A135:E135"/>
    <mergeCell ref="A138:B138"/>
    <mergeCell ref="A140:B140"/>
    <mergeCell ref="A141:B141"/>
    <mergeCell ref="A142:B142"/>
    <mergeCell ref="A143:B143"/>
    <mergeCell ref="A144:B144"/>
    <mergeCell ref="A57:E57"/>
    <mergeCell ref="A59:B59"/>
    <mergeCell ref="A68:E68"/>
    <mergeCell ref="A70:B70"/>
    <mergeCell ref="A84:E84"/>
    <mergeCell ref="A156:F156"/>
    <mergeCell ref="A43:B43"/>
    <mergeCell ref="A1:F1"/>
    <mergeCell ref="A2:F2"/>
    <mergeCell ref="A3:F3"/>
    <mergeCell ref="A5:B5"/>
    <mergeCell ref="A9:E9"/>
    <mergeCell ref="A11:B11"/>
    <mergeCell ref="A17:E17"/>
    <mergeCell ref="A19:D19"/>
    <mergeCell ref="A28:E28"/>
    <mergeCell ref="A30:D30"/>
    <mergeCell ref="A40:E40"/>
    <mergeCell ref="A109:B109"/>
    <mergeCell ref="A48:E48"/>
    <mergeCell ref="A50:B5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O29"/>
  <sheetViews>
    <sheetView topLeftCell="A7" zoomScale="95" zoomScaleNormal="95" workbookViewId="0">
      <selection activeCell="E26" sqref="E26"/>
    </sheetView>
  </sheetViews>
  <sheetFormatPr baseColWidth="10" defaultRowHeight="13.5"/>
  <cols>
    <col min="1" max="1" width="21.7109375" style="149" customWidth="1"/>
    <col min="2" max="2" width="9" style="150" customWidth="1"/>
    <col min="3" max="3" width="10.140625" style="151" customWidth="1"/>
    <col min="4" max="4" width="5.5703125" style="149" customWidth="1"/>
    <col min="5" max="5" width="19.42578125" style="149" customWidth="1"/>
    <col min="6" max="6" width="9.42578125" style="150" customWidth="1"/>
    <col min="7" max="7" width="9.42578125" style="151" customWidth="1"/>
    <col min="8" max="8" width="5.42578125" style="149" customWidth="1"/>
    <col min="9" max="9" width="32" style="149" customWidth="1"/>
    <col min="10" max="10" width="9.7109375" style="150" customWidth="1"/>
    <col min="11" max="11" width="9.85546875" style="151" customWidth="1"/>
    <col min="12" max="12" width="6.140625" style="149" customWidth="1"/>
    <col min="13" max="13" width="23.5703125" style="149" customWidth="1"/>
    <col min="14" max="14" width="9.42578125" style="150" customWidth="1"/>
    <col min="15" max="15" width="9.5703125" style="151" customWidth="1"/>
    <col min="16" max="16384" width="11.42578125" style="149"/>
  </cols>
  <sheetData>
    <row r="2" spans="1:15">
      <c r="A2" s="816" t="s">
        <v>141</v>
      </c>
      <c r="B2" s="816"/>
      <c r="C2" s="816"/>
      <c r="E2" s="816" t="s">
        <v>147</v>
      </c>
      <c r="F2" s="816"/>
      <c r="G2" s="816"/>
      <c r="I2" s="816" t="s">
        <v>140</v>
      </c>
      <c r="J2" s="816"/>
      <c r="K2" s="816"/>
      <c r="M2" s="816" t="s">
        <v>142</v>
      </c>
      <c r="N2" s="816"/>
      <c r="O2" s="816"/>
    </row>
    <row r="4" spans="1:15" ht="18" customHeight="1">
      <c r="A4" s="152" t="s">
        <v>34</v>
      </c>
      <c r="B4" s="152" t="s">
        <v>12</v>
      </c>
      <c r="C4" s="153" t="s">
        <v>40</v>
      </c>
      <c r="E4" s="152" t="s">
        <v>34</v>
      </c>
      <c r="F4" s="152" t="s">
        <v>12</v>
      </c>
      <c r="G4" s="153" t="s">
        <v>40</v>
      </c>
      <c r="I4" s="152" t="s">
        <v>34</v>
      </c>
      <c r="J4" s="152" t="s">
        <v>12</v>
      </c>
      <c r="K4" s="153" t="s">
        <v>40</v>
      </c>
      <c r="M4" s="152" t="s">
        <v>34</v>
      </c>
      <c r="N4" s="152" t="s">
        <v>12</v>
      </c>
      <c r="O4" s="153" t="s">
        <v>40</v>
      </c>
    </row>
    <row r="5" spans="1:15" ht="21" customHeight="1">
      <c r="A5" s="154" t="s">
        <v>60</v>
      </c>
      <c r="B5" s="155" t="s">
        <v>12</v>
      </c>
      <c r="C5" s="156">
        <v>85</v>
      </c>
      <c r="E5" s="157" t="s">
        <v>35</v>
      </c>
      <c r="F5" s="158" t="s">
        <v>37</v>
      </c>
      <c r="G5" s="156">
        <v>7800</v>
      </c>
      <c r="I5" s="148" t="s">
        <v>59</v>
      </c>
      <c r="J5" s="159" t="s">
        <v>12</v>
      </c>
      <c r="K5" s="156">
        <v>3000</v>
      </c>
      <c r="M5" s="157" t="s">
        <v>87</v>
      </c>
      <c r="N5" s="158" t="s">
        <v>23</v>
      </c>
      <c r="O5" s="156">
        <v>14000</v>
      </c>
    </row>
    <row r="6" spans="1:15" ht="21" customHeight="1">
      <c r="A6" s="157" t="s">
        <v>193</v>
      </c>
      <c r="B6" s="158" t="s">
        <v>23</v>
      </c>
      <c r="C6" s="156">
        <v>22000</v>
      </c>
      <c r="E6" s="157" t="s">
        <v>36</v>
      </c>
      <c r="F6" s="158" t="s">
        <v>37</v>
      </c>
      <c r="G6" s="156">
        <v>11600</v>
      </c>
      <c r="I6" s="157" t="s">
        <v>145</v>
      </c>
      <c r="J6" s="159" t="s">
        <v>12</v>
      </c>
      <c r="K6" s="156">
        <v>4000</v>
      </c>
      <c r="M6" s="157" t="s">
        <v>24</v>
      </c>
      <c r="N6" s="160" t="s">
        <v>8</v>
      </c>
      <c r="O6" s="156">
        <v>15000</v>
      </c>
    </row>
    <row r="7" spans="1:15" ht="21" customHeight="1">
      <c r="A7" s="157" t="s">
        <v>192</v>
      </c>
      <c r="B7" s="158" t="s">
        <v>23</v>
      </c>
      <c r="C7" s="156">
        <v>26500</v>
      </c>
      <c r="E7" s="157" t="s">
        <v>46</v>
      </c>
      <c r="F7" s="158" t="s">
        <v>37</v>
      </c>
      <c r="G7" s="156">
        <v>17600</v>
      </c>
      <c r="I7" s="157" t="s">
        <v>146</v>
      </c>
      <c r="J7" s="159" t="s">
        <v>12</v>
      </c>
      <c r="K7" s="156">
        <v>8000</v>
      </c>
      <c r="M7" s="157" t="s">
        <v>55</v>
      </c>
      <c r="N7" s="160" t="s">
        <v>8</v>
      </c>
      <c r="O7" s="234">
        <v>3000</v>
      </c>
    </row>
    <row r="8" spans="1:15" ht="21" customHeight="1">
      <c r="A8" s="157" t="s">
        <v>194</v>
      </c>
      <c r="B8" s="158" t="s">
        <v>23</v>
      </c>
      <c r="C8" s="156">
        <v>30000</v>
      </c>
      <c r="E8" s="157" t="s">
        <v>47</v>
      </c>
      <c r="F8" s="158" t="s">
        <v>37</v>
      </c>
      <c r="G8" s="156">
        <v>25300</v>
      </c>
      <c r="I8" s="148" t="s">
        <v>144</v>
      </c>
      <c r="J8" s="159" t="s">
        <v>12</v>
      </c>
      <c r="K8" s="156">
        <v>4000</v>
      </c>
      <c r="M8" s="157" t="s">
        <v>56</v>
      </c>
      <c r="N8" s="160" t="s">
        <v>8</v>
      </c>
      <c r="O8" s="234">
        <v>4000</v>
      </c>
    </row>
    <row r="9" spans="1:15" ht="21" customHeight="1">
      <c r="A9" s="157" t="s">
        <v>42</v>
      </c>
      <c r="B9" s="158" t="s">
        <v>2</v>
      </c>
      <c r="C9" s="156">
        <v>15000</v>
      </c>
      <c r="E9" s="157" t="s">
        <v>45</v>
      </c>
      <c r="F9" s="158" t="s">
        <v>8</v>
      </c>
      <c r="G9" s="156">
        <v>4000</v>
      </c>
      <c r="I9" s="148" t="s">
        <v>143</v>
      </c>
      <c r="J9" s="159" t="s">
        <v>12</v>
      </c>
      <c r="K9" s="156">
        <v>6000</v>
      </c>
      <c r="M9" s="157" t="s">
        <v>102</v>
      </c>
      <c r="N9" s="160" t="s">
        <v>90</v>
      </c>
      <c r="O9" s="156">
        <v>5000</v>
      </c>
    </row>
    <row r="10" spans="1:15" ht="21" customHeight="1">
      <c r="A10" s="157" t="s">
        <v>43</v>
      </c>
      <c r="B10" s="158" t="s">
        <v>2</v>
      </c>
      <c r="C10" s="156">
        <v>75000</v>
      </c>
      <c r="E10" s="161" t="s">
        <v>158</v>
      </c>
      <c r="F10" s="160" t="s">
        <v>37</v>
      </c>
      <c r="G10" s="162">
        <v>25000</v>
      </c>
      <c r="I10" s="148" t="s">
        <v>96</v>
      </c>
      <c r="J10" s="159" t="s">
        <v>12</v>
      </c>
      <c r="K10" s="156">
        <v>3500</v>
      </c>
      <c r="M10" s="157" t="s">
        <v>149</v>
      </c>
      <c r="N10" s="158" t="s">
        <v>150</v>
      </c>
      <c r="O10" s="156">
        <v>15000</v>
      </c>
    </row>
    <row r="11" spans="1:15" ht="21" customHeight="1">
      <c r="A11" s="157" t="s">
        <v>38</v>
      </c>
      <c r="B11" s="158" t="s">
        <v>2</v>
      </c>
      <c r="C11" s="156">
        <v>50000</v>
      </c>
      <c r="E11" s="157" t="s">
        <v>324</v>
      </c>
      <c r="F11" s="158" t="s">
        <v>51</v>
      </c>
      <c r="G11" s="156">
        <v>114000</v>
      </c>
      <c r="I11" s="157" t="s">
        <v>111</v>
      </c>
      <c r="J11" s="159" t="s">
        <v>12</v>
      </c>
      <c r="K11" s="156">
        <v>45000</v>
      </c>
      <c r="M11" s="157" t="s">
        <v>88</v>
      </c>
      <c r="N11" s="160" t="s">
        <v>12</v>
      </c>
      <c r="O11" s="156">
        <v>5000</v>
      </c>
    </row>
    <row r="12" spans="1:15" ht="21" customHeight="1">
      <c r="A12" s="157" t="s">
        <v>44</v>
      </c>
      <c r="B12" s="158" t="s">
        <v>12</v>
      </c>
      <c r="C12" s="156">
        <v>400</v>
      </c>
      <c r="E12" s="157" t="s">
        <v>325</v>
      </c>
      <c r="F12" s="158" t="s">
        <v>51</v>
      </c>
      <c r="G12" s="156">
        <v>84000</v>
      </c>
      <c r="I12" s="157" t="s">
        <v>49</v>
      </c>
      <c r="J12" s="159" t="s">
        <v>12</v>
      </c>
      <c r="K12" s="156">
        <v>35000</v>
      </c>
      <c r="M12" s="171" t="s">
        <v>86</v>
      </c>
      <c r="N12" s="160" t="s">
        <v>12</v>
      </c>
      <c r="O12" s="156">
        <v>3500</v>
      </c>
    </row>
    <row r="13" spans="1:15" ht="21.75" customHeight="1">
      <c r="A13" s="157"/>
      <c r="B13" s="158"/>
      <c r="C13" s="156"/>
      <c r="E13" s="161" t="s">
        <v>326</v>
      </c>
      <c r="F13" s="160" t="s">
        <v>37</v>
      </c>
      <c r="G13" s="162">
        <v>45000</v>
      </c>
      <c r="I13" s="170" t="s">
        <v>157</v>
      </c>
      <c r="J13" s="159" t="s">
        <v>98</v>
      </c>
      <c r="K13" s="156">
        <v>45000</v>
      </c>
      <c r="M13" s="171" t="s">
        <v>85</v>
      </c>
      <c r="N13" s="160" t="s">
        <v>12</v>
      </c>
      <c r="O13" s="156">
        <v>2500</v>
      </c>
    </row>
    <row r="14" spans="1:15" ht="21.75" customHeight="1">
      <c r="A14" s="157"/>
      <c r="B14" s="158"/>
      <c r="C14" s="156"/>
      <c r="E14" s="157" t="s">
        <v>327</v>
      </c>
      <c r="F14" s="160" t="s">
        <v>37</v>
      </c>
      <c r="G14" s="156">
        <v>27200</v>
      </c>
      <c r="I14" s="170" t="s">
        <v>156</v>
      </c>
      <c r="J14" s="159" t="s">
        <v>12</v>
      </c>
      <c r="K14" s="156">
        <v>15000</v>
      </c>
      <c r="M14" s="163"/>
      <c r="N14" s="164"/>
      <c r="O14" s="165"/>
    </row>
    <row r="15" spans="1:15" ht="26.25" customHeight="1">
      <c r="A15" s="157"/>
      <c r="B15" s="158"/>
      <c r="C15" s="156"/>
      <c r="E15" s="166"/>
      <c r="F15" s="159"/>
      <c r="G15" s="156"/>
      <c r="I15" s="148" t="s">
        <v>196</v>
      </c>
      <c r="J15" s="159" t="s">
        <v>12</v>
      </c>
      <c r="K15" s="156">
        <v>8500</v>
      </c>
      <c r="M15" s="148" t="s">
        <v>161</v>
      </c>
      <c r="N15" s="159" t="s">
        <v>10</v>
      </c>
      <c r="O15" s="156"/>
    </row>
    <row r="16" spans="1:15" ht="26.25" customHeight="1">
      <c r="A16" s="167"/>
      <c r="B16" s="168"/>
      <c r="C16" s="169"/>
      <c r="E16" s="173"/>
      <c r="F16" s="174"/>
      <c r="G16" s="169"/>
      <c r="I16" s="170"/>
      <c r="J16" s="159"/>
      <c r="K16" s="156"/>
      <c r="M16" s="148" t="s">
        <v>163</v>
      </c>
      <c r="N16" s="159" t="s">
        <v>10</v>
      </c>
      <c r="O16" s="156"/>
    </row>
    <row r="17" spans="1:15" ht="27" customHeight="1">
      <c r="A17" s="166" t="s">
        <v>48</v>
      </c>
      <c r="B17" s="159" t="s">
        <v>155</v>
      </c>
      <c r="C17" s="156">
        <v>25000</v>
      </c>
      <c r="E17" s="157" t="s">
        <v>139</v>
      </c>
      <c r="F17" s="158" t="s">
        <v>12</v>
      </c>
      <c r="G17" s="156">
        <v>25000</v>
      </c>
      <c r="I17" s="157"/>
      <c r="J17" s="159"/>
      <c r="K17" s="156"/>
      <c r="M17" s="148" t="s">
        <v>162</v>
      </c>
      <c r="N17" s="159" t="s">
        <v>10</v>
      </c>
      <c r="O17" s="156"/>
    </row>
    <row r="18" spans="1:15" ht="27" customHeight="1">
      <c r="A18" s="166" t="s">
        <v>48</v>
      </c>
      <c r="B18" s="159" t="s">
        <v>154</v>
      </c>
      <c r="C18" s="156">
        <v>30000</v>
      </c>
      <c r="E18" s="157" t="s">
        <v>159</v>
      </c>
      <c r="F18" s="158" t="s">
        <v>12</v>
      </c>
      <c r="G18" s="156"/>
      <c r="I18" s="157"/>
      <c r="J18" s="159"/>
      <c r="K18" s="156"/>
      <c r="M18" s="157" t="s">
        <v>54</v>
      </c>
      <c r="N18" s="158" t="s">
        <v>51</v>
      </c>
      <c r="O18" s="156"/>
    </row>
    <row r="19" spans="1:15" ht="27" customHeight="1">
      <c r="A19" s="157" t="s">
        <v>148</v>
      </c>
      <c r="B19" s="158" t="s">
        <v>12</v>
      </c>
      <c r="C19" s="175">
        <v>3000</v>
      </c>
      <c r="E19" s="157" t="s">
        <v>160</v>
      </c>
      <c r="F19" s="158" t="s">
        <v>12</v>
      </c>
      <c r="G19" s="156"/>
      <c r="I19" s="157"/>
      <c r="J19" s="158"/>
      <c r="K19" s="156"/>
      <c r="M19" s="157" t="s">
        <v>52</v>
      </c>
      <c r="N19" s="158" t="s">
        <v>12</v>
      </c>
      <c r="O19" s="156">
        <v>500</v>
      </c>
    </row>
    <row r="20" spans="1:15" ht="21" customHeight="1">
      <c r="A20" s="171"/>
      <c r="B20" s="160"/>
      <c r="C20" s="156"/>
      <c r="E20" s="157" t="s">
        <v>153</v>
      </c>
      <c r="F20" s="158" t="s">
        <v>12</v>
      </c>
      <c r="G20" s="156">
        <v>600</v>
      </c>
      <c r="I20" s="148"/>
      <c r="J20" s="159"/>
      <c r="K20" s="156"/>
      <c r="M20" s="157" t="s">
        <v>57</v>
      </c>
      <c r="N20" s="158" t="s">
        <v>8</v>
      </c>
      <c r="O20" s="156">
        <v>4000</v>
      </c>
    </row>
    <row r="21" spans="1:15" ht="21" customHeight="1">
      <c r="A21" s="171"/>
      <c r="B21" s="160"/>
      <c r="C21" s="156"/>
      <c r="E21" s="157" t="s">
        <v>151</v>
      </c>
      <c r="F21" s="158" t="s">
        <v>12</v>
      </c>
      <c r="G21" s="156">
        <v>400</v>
      </c>
      <c r="I21" s="157" t="s">
        <v>200</v>
      </c>
      <c r="J21" s="158" t="s">
        <v>1</v>
      </c>
      <c r="K21" s="156">
        <v>20000</v>
      </c>
      <c r="M21" s="157" t="s">
        <v>53</v>
      </c>
      <c r="N21" s="158" t="s">
        <v>8</v>
      </c>
      <c r="O21" s="156">
        <v>5000</v>
      </c>
    </row>
    <row r="22" spans="1:15" ht="21" customHeight="1">
      <c r="A22" s="172"/>
      <c r="B22" s="160"/>
      <c r="C22" s="156"/>
      <c r="E22" s="157" t="s">
        <v>152</v>
      </c>
      <c r="F22" s="158" t="s">
        <v>12</v>
      </c>
      <c r="G22" s="156">
        <v>250</v>
      </c>
      <c r="I22" s="171"/>
      <c r="J22" s="160"/>
      <c r="K22" s="156"/>
      <c r="M22" s="157" t="s">
        <v>80</v>
      </c>
      <c r="N22" s="160" t="s">
        <v>12</v>
      </c>
      <c r="O22" s="156">
        <v>10000</v>
      </c>
    </row>
    <row r="23" spans="1:15" ht="26.25" customHeight="1">
      <c r="A23" s="171"/>
      <c r="B23" s="160"/>
      <c r="C23" s="156"/>
      <c r="E23" s="157" t="s">
        <v>39</v>
      </c>
      <c r="F23" s="160" t="s">
        <v>12</v>
      </c>
      <c r="G23" s="156">
        <v>25000</v>
      </c>
      <c r="I23" s="171"/>
      <c r="J23" s="160"/>
      <c r="K23" s="156"/>
      <c r="M23" s="231" t="s">
        <v>322</v>
      </c>
      <c r="N23" s="232" t="s">
        <v>51</v>
      </c>
      <c r="O23" s="156">
        <v>50000</v>
      </c>
    </row>
    <row r="24" spans="1:15" ht="26.25" customHeight="1">
      <c r="A24" s="171"/>
      <c r="B24" s="160"/>
      <c r="C24" s="156"/>
      <c r="E24" s="157" t="s">
        <v>99</v>
      </c>
      <c r="F24" s="160" t="s">
        <v>12</v>
      </c>
      <c r="G24" s="156">
        <v>700</v>
      </c>
      <c r="I24" s="171"/>
      <c r="J24" s="160"/>
      <c r="K24" s="156"/>
      <c r="M24" s="231" t="s">
        <v>323</v>
      </c>
      <c r="N24" s="232" t="s">
        <v>51</v>
      </c>
      <c r="O24" s="156">
        <v>40000</v>
      </c>
    </row>
    <row r="25" spans="1:15" ht="21" customHeight="1">
      <c r="A25" s="171"/>
      <c r="B25" s="160"/>
      <c r="C25" s="156"/>
      <c r="E25" s="157" t="s">
        <v>197</v>
      </c>
      <c r="F25" s="160" t="s">
        <v>12</v>
      </c>
      <c r="G25" s="156">
        <v>5000</v>
      </c>
      <c r="I25" s="171"/>
      <c r="J25" s="160"/>
      <c r="K25" s="156"/>
      <c r="M25" s="157"/>
      <c r="N25" s="160"/>
      <c r="O25" s="156"/>
    </row>
    <row r="26" spans="1:15" ht="18" customHeight="1">
      <c r="E26" s="171" t="s">
        <v>198</v>
      </c>
      <c r="F26" s="160" t="s">
        <v>199</v>
      </c>
      <c r="G26" s="156">
        <v>7000</v>
      </c>
      <c r="I26" s="171"/>
      <c r="J26" s="160"/>
      <c r="K26" s="156"/>
    </row>
    <row r="27" spans="1:15" ht="18" customHeight="1"/>
    <row r="28" spans="1:15" ht="18" customHeight="1"/>
    <row r="29" spans="1:15" ht="18" customHeight="1"/>
  </sheetData>
  <mergeCells count="4">
    <mergeCell ref="E2:G2"/>
    <mergeCell ref="I2:K2"/>
    <mergeCell ref="A2:C2"/>
    <mergeCell ref="M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93"/>
  <sheetViews>
    <sheetView topLeftCell="A82" workbookViewId="0">
      <selection activeCell="D101" sqref="D101"/>
    </sheetView>
  </sheetViews>
  <sheetFormatPr baseColWidth="10" defaultRowHeight="12.75"/>
  <cols>
    <col min="1" max="1" width="20.42578125" customWidth="1"/>
    <col min="2" max="5" width="11.42578125" style="213"/>
    <col min="6" max="6" width="11.42578125" style="214"/>
    <col min="7" max="7" width="20.28515625" style="302" customWidth="1"/>
    <col min="9" max="9" width="11.42578125" style="332"/>
    <col min="10" max="10" width="16.85546875" style="332" customWidth="1"/>
    <col min="13" max="13" width="20.28515625" style="213" customWidth="1"/>
  </cols>
  <sheetData>
    <row r="1" spans="1:17">
      <c r="A1" s="211" t="s">
        <v>287</v>
      </c>
      <c r="G1" s="324" t="s">
        <v>297</v>
      </c>
      <c r="H1" s="213"/>
      <c r="I1" s="214"/>
      <c r="J1" s="214"/>
      <c r="K1" s="213"/>
      <c r="M1" s="211" t="s">
        <v>297</v>
      </c>
      <c r="N1" s="213"/>
      <c r="O1" s="213"/>
      <c r="P1" s="214"/>
      <c r="Q1" s="213"/>
    </row>
    <row r="2" spans="1:17">
      <c r="G2" s="325"/>
      <c r="H2" s="213"/>
      <c r="I2" s="214"/>
      <c r="J2" s="214"/>
      <c r="K2" s="213"/>
      <c r="M2"/>
      <c r="N2" s="213"/>
      <c r="O2" s="213"/>
      <c r="P2" s="214"/>
      <c r="Q2" s="213"/>
    </row>
    <row r="3" spans="1:17">
      <c r="G3" s="326" t="s">
        <v>298</v>
      </c>
      <c r="H3" s="213">
        <v>3.5</v>
      </c>
      <c r="I3" s="214">
        <v>2.9</v>
      </c>
      <c r="J3" s="214">
        <v>22</v>
      </c>
      <c r="K3" s="213">
        <f>H3*I3*J3</f>
        <v>223.3</v>
      </c>
      <c r="M3" s="218" t="s">
        <v>302</v>
      </c>
      <c r="N3" s="213">
        <v>3.5</v>
      </c>
      <c r="O3" s="213">
        <v>2.9</v>
      </c>
      <c r="P3" s="214">
        <v>22</v>
      </c>
      <c r="Q3" s="213">
        <f>N3*O3*P3</f>
        <v>223.3</v>
      </c>
    </row>
    <row r="4" spans="1:17" ht="15" customHeight="1">
      <c r="A4" s="212" t="s">
        <v>288</v>
      </c>
      <c r="B4" s="213">
        <v>17.82</v>
      </c>
      <c r="C4" s="213">
        <v>5.93</v>
      </c>
      <c r="D4" s="213">
        <v>1</v>
      </c>
      <c r="E4" s="213">
        <f>B4*C4</f>
        <v>105.6726</v>
      </c>
      <c r="G4" s="327"/>
      <c r="H4" s="213">
        <v>0.9</v>
      </c>
      <c r="I4" s="214">
        <v>2.9</v>
      </c>
      <c r="J4" s="214">
        <v>2</v>
      </c>
      <c r="K4" s="213">
        <f t="shared" ref="K4:K28" si="0">H4*I4*J4</f>
        <v>5.22</v>
      </c>
      <c r="M4" s="212"/>
      <c r="N4" s="213">
        <v>0.9</v>
      </c>
      <c r="O4" s="213">
        <v>2.9</v>
      </c>
      <c r="P4" s="214">
        <v>2</v>
      </c>
      <c r="Q4" s="213">
        <f t="shared" ref="Q4:Q24" si="1">N4*O4*P4</f>
        <v>5.22</v>
      </c>
    </row>
    <row r="5" spans="1:17" ht="15" customHeight="1">
      <c r="A5" s="212" t="s">
        <v>289</v>
      </c>
      <c r="B5" s="213">
        <v>17.82</v>
      </c>
      <c r="C5" s="213">
        <v>5.93</v>
      </c>
      <c r="D5" s="213">
        <v>1</v>
      </c>
      <c r="E5" s="213">
        <f t="shared" ref="E5:E11" si="2">B5*C5</f>
        <v>105.6726</v>
      </c>
      <c r="G5" s="327"/>
      <c r="H5" s="213">
        <v>3</v>
      </c>
      <c r="I5" s="214">
        <v>2.9</v>
      </c>
      <c r="J5" s="214">
        <v>6</v>
      </c>
      <c r="K5" s="213">
        <f t="shared" si="0"/>
        <v>52.199999999999996</v>
      </c>
      <c r="M5" s="212"/>
      <c r="N5" s="213">
        <v>3</v>
      </c>
      <c r="O5" s="213">
        <v>2.9</v>
      </c>
      <c r="P5" s="214">
        <v>8</v>
      </c>
      <c r="Q5" s="213">
        <f t="shared" si="1"/>
        <v>69.599999999999994</v>
      </c>
    </row>
    <row r="6" spans="1:17" ht="15" customHeight="1">
      <c r="A6" s="212" t="s">
        <v>290</v>
      </c>
      <c r="B6" s="213">
        <v>9.08</v>
      </c>
      <c r="C6" s="213">
        <v>5.93</v>
      </c>
      <c r="D6" s="213">
        <v>1</v>
      </c>
      <c r="E6" s="213">
        <f t="shared" si="2"/>
        <v>53.8444</v>
      </c>
      <c r="G6" s="327"/>
      <c r="H6" s="213">
        <v>2.5</v>
      </c>
      <c r="I6" s="214">
        <v>2.9</v>
      </c>
      <c r="J6" s="214">
        <v>4</v>
      </c>
      <c r="K6" s="213">
        <f t="shared" si="0"/>
        <v>29</v>
      </c>
      <c r="M6" s="212"/>
      <c r="N6" s="213">
        <v>3.01</v>
      </c>
      <c r="O6" s="213">
        <v>2.9</v>
      </c>
      <c r="P6" s="214">
        <v>8</v>
      </c>
      <c r="Q6" s="213">
        <f t="shared" si="1"/>
        <v>69.831999999999994</v>
      </c>
    </row>
    <row r="7" spans="1:17" ht="15" customHeight="1">
      <c r="A7" s="212" t="s">
        <v>291</v>
      </c>
      <c r="B7" s="213">
        <v>9.08</v>
      </c>
      <c r="C7" s="213">
        <v>5.93</v>
      </c>
      <c r="D7" s="213">
        <v>1</v>
      </c>
      <c r="E7" s="213">
        <f t="shared" si="2"/>
        <v>53.8444</v>
      </c>
      <c r="G7" s="327"/>
      <c r="H7" s="213">
        <v>3.5</v>
      </c>
      <c r="I7" s="214">
        <v>2.9</v>
      </c>
      <c r="J7" s="214">
        <v>2</v>
      </c>
      <c r="K7" s="213">
        <f t="shared" si="0"/>
        <v>20.3</v>
      </c>
      <c r="M7" s="212"/>
      <c r="N7" s="213">
        <v>5</v>
      </c>
      <c r="O7" s="213">
        <v>2.9</v>
      </c>
      <c r="P7" s="214">
        <v>2</v>
      </c>
      <c r="Q7" s="213">
        <f t="shared" si="1"/>
        <v>29</v>
      </c>
    </row>
    <row r="8" spans="1:17" ht="15" customHeight="1">
      <c r="A8" s="212" t="s">
        <v>293</v>
      </c>
      <c r="B8" s="213">
        <v>18.82</v>
      </c>
      <c r="C8" s="213">
        <v>1.2</v>
      </c>
      <c r="D8" s="213">
        <v>2</v>
      </c>
      <c r="E8" s="213">
        <f t="shared" si="2"/>
        <v>22.584</v>
      </c>
      <c r="G8" s="327"/>
      <c r="H8" s="213">
        <v>2.52</v>
      </c>
      <c r="I8" s="214">
        <v>2.9</v>
      </c>
      <c r="J8" s="214">
        <v>2</v>
      </c>
      <c r="K8" s="213">
        <f t="shared" si="0"/>
        <v>14.616</v>
      </c>
      <c r="M8" s="212"/>
      <c r="N8" s="213">
        <v>2.5</v>
      </c>
      <c r="O8" s="213">
        <v>2.9</v>
      </c>
      <c r="P8" s="214">
        <v>1</v>
      </c>
      <c r="Q8" s="213">
        <f t="shared" si="1"/>
        <v>7.25</v>
      </c>
    </row>
    <row r="9" spans="1:17" ht="15" customHeight="1">
      <c r="A9" s="212"/>
      <c r="B9" s="213">
        <v>0.65</v>
      </c>
      <c r="C9" s="213">
        <v>1</v>
      </c>
      <c r="D9" s="213">
        <v>12</v>
      </c>
      <c r="E9" s="213">
        <f t="shared" si="2"/>
        <v>0.65</v>
      </c>
      <c r="G9" s="327"/>
      <c r="H9" s="213"/>
      <c r="I9" s="214"/>
      <c r="J9" s="214"/>
      <c r="K9" s="213"/>
      <c r="M9" s="212"/>
      <c r="N9" s="213"/>
      <c r="O9" s="213"/>
      <c r="P9" s="214"/>
      <c r="Q9" s="213"/>
    </row>
    <row r="10" spans="1:17" ht="15" customHeight="1">
      <c r="B10" s="213">
        <v>10.78</v>
      </c>
      <c r="C10" s="213">
        <v>1.2</v>
      </c>
      <c r="D10" s="213">
        <v>2</v>
      </c>
      <c r="E10" s="213">
        <f t="shared" si="2"/>
        <v>12.935999999999998</v>
      </c>
      <c r="G10" s="325"/>
      <c r="H10" s="213">
        <v>2.2599999999999998</v>
      </c>
      <c r="I10" s="214">
        <v>2.9</v>
      </c>
      <c r="J10" s="214">
        <v>2</v>
      </c>
      <c r="K10" s="213">
        <f t="shared" si="0"/>
        <v>13.107999999999999</v>
      </c>
      <c r="M10"/>
      <c r="N10" s="213">
        <v>1.26</v>
      </c>
      <c r="O10" s="213">
        <v>2.9</v>
      </c>
      <c r="P10" s="214">
        <v>1</v>
      </c>
      <c r="Q10" s="213">
        <f t="shared" si="1"/>
        <v>3.6539999999999999</v>
      </c>
    </row>
    <row r="11" spans="1:17" ht="15" customHeight="1">
      <c r="A11" s="212" t="s">
        <v>294</v>
      </c>
      <c r="B11" s="213">
        <v>2.6</v>
      </c>
      <c r="C11" s="213">
        <v>1</v>
      </c>
      <c r="D11" s="213">
        <v>2</v>
      </c>
      <c r="E11" s="213">
        <f t="shared" si="2"/>
        <v>2.6</v>
      </c>
      <c r="G11" s="327"/>
      <c r="H11" s="213">
        <v>6.24</v>
      </c>
      <c r="I11" s="214">
        <v>2.9</v>
      </c>
      <c r="J11" s="214">
        <v>2</v>
      </c>
      <c r="K11" s="213">
        <f t="shared" si="0"/>
        <v>36.192</v>
      </c>
      <c r="M11" s="212"/>
      <c r="N11" s="213"/>
      <c r="O11" s="213"/>
      <c r="P11" s="214"/>
      <c r="Q11" s="213">
        <f t="shared" si="1"/>
        <v>0</v>
      </c>
    </row>
    <row r="12" spans="1:17" ht="15" customHeight="1">
      <c r="D12" s="305" t="s">
        <v>295</v>
      </c>
      <c r="E12" s="305">
        <f>SUM(E4:E11)</f>
        <v>357.80399999999997</v>
      </c>
      <c r="G12" s="328" t="s">
        <v>299</v>
      </c>
      <c r="H12" s="213">
        <v>3.5</v>
      </c>
      <c r="I12" s="214">
        <v>0.24</v>
      </c>
      <c r="J12" s="216">
        <v>4</v>
      </c>
      <c r="K12" s="213">
        <f t="shared" si="0"/>
        <v>3.36</v>
      </c>
      <c r="M12" s="219"/>
      <c r="N12" s="215">
        <v>17.38</v>
      </c>
      <c r="O12" s="213">
        <v>2.9</v>
      </c>
      <c r="P12" s="216">
        <v>2</v>
      </c>
      <c r="Q12" s="213">
        <f t="shared" si="1"/>
        <v>100.80399999999999</v>
      </c>
    </row>
    <row r="13" spans="1:17" ht="15" customHeight="1">
      <c r="G13" s="325"/>
      <c r="H13" s="213">
        <v>2.5</v>
      </c>
      <c r="I13" s="214">
        <v>0.24</v>
      </c>
      <c r="J13" s="214">
        <v>1</v>
      </c>
      <c r="K13" s="213">
        <f t="shared" si="0"/>
        <v>0.6</v>
      </c>
      <c r="M13"/>
      <c r="N13" s="213"/>
      <c r="O13" s="213"/>
      <c r="P13" s="214"/>
      <c r="Q13" s="213">
        <f t="shared" si="1"/>
        <v>0</v>
      </c>
    </row>
    <row r="14" spans="1:17" ht="15" customHeight="1">
      <c r="G14" s="325"/>
      <c r="H14" s="213">
        <v>3.5</v>
      </c>
      <c r="I14" s="214">
        <v>0.23</v>
      </c>
      <c r="J14" s="214">
        <v>8</v>
      </c>
      <c r="K14" s="213">
        <f t="shared" si="0"/>
        <v>6.44</v>
      </c>
      <c r="M14"/>
      <c r="N14" s="213"/>
      <c r="O14" s="213"/>
      <c r="P14" s="214"/>
      <c r="Q14" s="213">
        <f t="shared" si="1"/>
        <v>0</v>
      </c>
    </row>
    <row r="15" spans="1:17" ht="15" customHeight="1">
      <c r="A15" s="211" t="s">
        <v>292</v>
      </c>
      <c r="G15" s="324"/>
      <c r="H15" s="213">
        <v>2.5</v>
      </c>
      <c r="I15" s="214">
        <v>0.23</v>
      </c>
      <c r="J15" s="214">
        <v>2</v>
      </c>
      <c r="K15" s="213">
        <f t="shared" si="0"/>
        <v>1.1500000000000001</v>
      </c>
      <c r="M15" s="211"/>
      <c r="N15" s="213"/>
      <c r="O15" s="213"/>
      <c r="P15" s="214"/>
      <c r="Q15" s="213">
        <f t="shared" si="1"/>
        <v>0</v>
      </c>
    </row>
    <row r="16" spans="1:17" ht="15" customHeight="1">
      <c r="G16" s="328" t="s">
        <v>301</v>
      </c>
      <c r="H16" s="213">
        <v>1.9</v>
      </c>
      <c r="I16" s="214">
        <v>1.95</v>
      </c>
      <c r="J16" s="214">
        <v>4</v>
      </c>
      <c r="K16" s="213">
        <f t="shared" si="0"/>
        <v>14.819999999999999</v>
      </c>
      <c r="M16" s="219" t="s">
        <v>301</v>
      </c>
      <c r="N16" s="213">
        <v>1.9</v>
      </c>
      <c r="O16" s="213">
        <v>1.95</v>
      </c>
      <c r="P16" s="214">
        <v>4</v>
      </c>
      <c r="Q16" s="213">
        <f t="shared" si="1"/>
        <v>14.819999999999999</v>
      </c>
    </row>
    <row r="17" spans="1:18" ht="15" customHeight="1">
      <c r="A17" s="212" t="s">
        <v>288</v>
      </c>
      <c r="B17" s="213">
        <v>1.2</v>
      </c>
      <c r="C17" s="213">
        <v>1.2</v>
      </c>
      <c r="D17" s="213">
        <v>9</v>
      </c>
      <c r="E17" s="213">
        <f>B17*C17</f>
        <v>1.44</v>
      </c>
      <c r="G17" s="327"/>
      <c r="H17" s="213">
        <v>3</v>
      </c>
      <c r="I17" s="214">
        <v>1.95</v>
      </c>
      <c r="J17" s="214">
        <v>2</v>
      </c>
      <c r="K17" s="213">
        <f t="shared" si="0"/>
        <v>11.7</v>
      </c>
      <c r="M17" s="212"/>
      <c r="N17" s="213">
        <v>3</v>
      </c>
      <c r="O17" s="213">
        <v>1.95</v>
      </c>
      <c r="P17" s="214">
        <v>2</v>
      </c>
      <c r="Q17" s="213">
        <f t="shared" si="1"/>
        <v>11.7</v>
      </c>
    </row>
    <row r="18" spans="1:18" ht="15" customHeight="1">
      <c r="A18" s="212"/>
      <c r="B18" s="213">
        <v>0.9</v>
      </c>
      <c r="C18" s="213">
        <v>0.9</v>
      </c>
      <c r="D18" s="213">
        <v>1</v>
      </c>
      <c r="E18" s="213">
        <f t="shared" ref="E18:E34" si="3">B18*C18</f>
        <v>0.81</v>
      </c>
      <c r="G18" s="328" t="s">
        <v>300</v>
      </c>
      <c r="H18" s="213">
        <v>4.8</v>
      </c>
      <c r="I18" s="214">
        <v>0.22</v>
      </c>
      <c r="J18" s="214">
        <v>9</v>
      </c>
      <c r="K18" s="213">
        <f t="shared" si="0"/>
        <v>9.5040000000000013</v>
      </c>
      <c r="M18" s="219" t="s">
        <v>300</v>
      </c>
      <c r="N18" s="213">
        <v>4.8</v>
      </c>
      <c r="O18" s="213">
        <v>0.22</v>
      </c>
      <c r="P18" s="214">
        <v>14</v>
      </c>
      <c r="Q18" s="213">
        <f t="shared" si="1"/>
        <v>14.784000000000001</v>
      </c>
    </row>
    <row r="19" spans="1:18" ht="15" customHeight="1">
      <c r="A19" s="212"/>
      <c r="B19" s="213">
        <v>1.4</v>
      </c>
      <c r="C19" s="213">
        <v>2.0499999999999998</v>
      </c>
      <c r="D19" s="213">
        <v>1</v>
      </c>
      <c r="E19" s="213">
        <f t="shared" si="3"/>
        <v>2.8699999999999997</v>
      </c>
      <c r="G19" s="327"/>
      <c r="H19" s="213">
        <v>3.6</v>
      </c>
      <c r="I19" s="214">
        <v>0.22</v>
      </c>
      <c r="J19" s="214">
        <v>2</v>
      </c>
      <c r="K19" s="213">
        <f t="shared" si="0"/>
        <v>1.5840000000000001</v>
      </c>
      <c r="M19" s="212"/>
      <c r="N19" s="213">
        <v>2.7</v>
      </c>
      <c r="O19" s="213">
        <v>0.22</v>
      </c>
      <c r="P19" s="214">
        <v>1</v>
      </c>
      <c r="Q19" s="213">
        <f t="shared" si="1"/>
        <v>0.59400000000000008</v>
      </c>
    </row>
    <row r="20" spans="1:18" ht="15" customHeight="1">
      <c r="A20" s="212"/>
      <c r="B20" s="213">
        <v>0.9</v>
      </c>
      <c r="C20" s="213">
        <v>2.0499999999999998</v>
      </c>
      <c r="D20" s="213">
        <v>1</v>
      </c>
      <c r="E20" s="213">
        <f t="shared" si="3"/>
        <v>1.845</v>
      </c>
      <c r="G20" s="327"/>
      <c r="H20" s="213">
        <v>2</v>
      </c>
      <c r="I20" s="214">
        <v>0.22</v>
      </c>
      <c r="J20" s="214">
        <v>1</v>
      </c>
      <c r="K20" s="213">
        <f t="shared" si="0"/>
        <v>0.44</v>
      </c>
      <c r="M20" s="212"/>
      <c r="N20" s="213">
        <v>2</v>
      </c>
      <c r="O20" s="213">
        <v>0.22</v>
      </c>
      <c r="P20" s="214">
        <v>1</v>
      </c>
      <c r="Q20" s="213">
        <f t="shared" si="1"/>
        <v>0.44</v>
      </c>
    </row>
    <row r="21" spans="1:18" ht="15" customHeight="1">
      <c r="A21" s="212"/>
      <c r="E21" s="213">
        <f t="shared" si="3"/>
        <v>0</v>
      </c>
      <c r="G21" s="327"/>
      <c r="H21" s="213">
        <v>2.7</v>
      </c>
      <c r="I21" s="214">
        <v>0.22</v>
      </c>
      <c r="J21" s="214">
        <v>1</v>
      </c>
      <c r="K21" s="213">
        <f t="shared" si="0"/>
        <v>0.59400000000000008</v>
      </c>
      <c r="M21" s="212"/>
      <c r="N21" s="213">
        <v>4.2</v>
      </c>
      <c r="O21" s="213">
        <v>0.22</v>
      </c>
      <c r="P21" s="214">
        <v>2</v>
      </c>
      <c r="Q21" s="213">
        <f t="shared" si="1"/>
        <v>1.8480000000000001</v>
      </c>
    </row>
    <row r="22" spans="1:18" ht="15" customHeight="1">
      <c r="A22" s="212" t="s">
        <v>289</v>
      </c>
      <c r="B22" s="213">
        <v>1.2</v>
      </c>
      <c r="C22" s="213">
        <v>1.2</v>
      </c>
      <c r="D22" s="213">
        <v>8</v>
      </c>
      <c r="E22" s="213">
        <f t="shared" si="3"/>
        <v>1.44</v>
      </c>
      <c r="G22" s="327"/>
      <c r="H22" s="213">
        <v>4</v>
      </c>
      <c r="I22" s="214">
        <v>0.22</v>
      </c>
      <c r="J22" s="214">
        <v>1</v>
      </c>
      <c r="K22" s="213">
        <f t="shared" si="0"/>
        <v>0.88</v>
      </c>
      <c r="M22" s="212"/>
      <c r="N22" s="213">
        <v>5</v>
      </c>
      <c r="O22" s="213">
        <v>0.22</v>
      </c>
      <c r="P22" s="214">
        <v>9</v>
      </c>
      <c r="Q22" s="213">
        <f t="shared" si="1"/>
        <v>9.9</v>
      </c>
    </row>
    <row r="23" spans="1:18" ht="15" customHeight="1">
      <c r="A23" s="212"/>
      <c r="B23" s="213">
        <v>0.9</v>
      </c>
      <c r="C23" s="213">
        <v>0.45</v>
      </c>
      <c r="D23" s="213">
        <v>2</v>
      </c>
      <c r="E23" s="213">
        <f t="shared" si="3"/>
        <v>0.40500000000000003</v>
      </c>
      <c r="G23" s="327"/>
      <c r="H23" s="213">
        <v>3.3</v>
      </c>
      <c r="I23" s="214">
        <v>0.22</v>
      </c>
      <c r="J23" s="214">
        <v>1</v>
      </c>
      <c r="K23" s="213">
        <f t="shared" si="0"/>
        <v>0.72599999999999998</v>
      </c>
      <c r="M23" s="212"/>
      <c r="N23" s="213">
        <v>4.9000000000000004</v>
      </c>
      <c r="O23" s="213">
        <v>0.22</v>
      </c>
      <c r="P23" s="214">
        <v>1</v>
      </c>
      <c r="Q23" s="213">
        <f t="shared" si="1"/>
        <v>1.0780000000000001</v>
      </c>
    </row>
    <row r="24" spans="1:18" ht="15" customHeight="1">
      <c r="A24" s="212"/>
      <c r="B24" s="213">
        <v>0.5</v>
      </c>
      <c r="C24" s="213">
        <v>0.5</v>
      </c>
      <c r="D24" s="213">
        <v>2</v>
      </c>
      <c r="E24" s="213">
        <f t="shared" si="3"/>
        <v>0.25</v>
      </c>
      <c r="G24" s="327"/>
      <c r="H24" s="213">
        <v>5</v>
      </c>
      <c r="I24" s="214">
        <v>0.22</v>
      </c>
      <c r="J24" s="214">
        <v>1</v>
      </c>
      <c r="K24" s="213">
        <f t="shared" si="0"/>
        <v>1.1000000000000001</v>
      </c>
      <c r="M24" s="212"/>
      <c r="N24" s="213">
        <v>4.7</v>
      </c>
      <c r="O24" s="213">
        <v>0.11</v>
      </c>
      <c r="P24" s="214">
        <v>3</v>
      </c>
      <c r="Q24" s="213">
        <f t="shared" si="1"/>
        <v>1.5510000000000002</v>
      </c>
      <c r="R24" s="222">
        <f>SUM(Q3:Q24)</f>
        <v>565.37500000000011</v>
      </c>
    </row>
    <row r="25" spans="1:18" ht="15" customHeight="1">
      <c r="A25" s="212"/>
      <c r="B25" s="213">
        <v>0.9</v>
      </c>
      <c r="C25" s="213">
        <v>0.9</v>
      </c>
      <c r="D25" s="213">
        <v>1</v>
      </c>
      <c r="E25" s="213">
        <f t="shared" si="3"/>
        <v>0.81</v>
      </c>
      <c r="G25" s="327"/>
      <c r="H25" s="213">
        <v>5.5</v>
      </c>
      <c r="I25" s="214">
        <v>0.22</v>
      </c>
      <c r="J25" s="214">
        <v>1</v>
      </c>
      <c r="K25" s="213">
        <f t="shared" si="0"/>
        <v>1.21</v>
      </c>
      <c r="M25" s="212"/>
      <c r="N25" s="213"/>
      <c r="O25" s="213"/>
      <c r="P25" s="214"/>
      <c r="Q25" s="213"/>
    </row>
    <row r="26" spans="1:18" ht="15" customHeight="1">
      <c r="A26" s="212"/>
      <c r="B26" s="213">
        <v>1</v>
      </c>
      <c r="C26" s="213">
        <v>1</v>
      </c>
      <c r="D26" s="213">
        <v>1</v>
      </c>
      <c r="E26" s="213">
        <f t="shared" si="3"/>
        <v>1</v>
      </c>
      <c r="G26" s="327"/>
      <c r="H26" s="213">
        <v>5</v>
      </c>
      <c r="I26" s="214">
        <v>0.22</v>
      </c>
      <c r="J26" s="214">
        <v>10</v>
      </c>
      <c r="K26" s="213">
        <f t="shared" si="0"/>
        <v>11</v>
      </c>
      <c r="M26" s="212"/>
      <c r="N26" s="213"/>
      <c r="O26" s="213"/>
      <c r="P26" s="214"/>
      <c r="Q26" s="213"/>
    </row>
    <row r="27" spans="1:18" ht="15" customHeight="1">
      <c r="A27" s="212"/>
      <c r="G27" s="327"/>
      <c r="H27" s="213">
        <v>17.38</v>
      </c>
      <c r="I27" s="214">
        <v>2.9</v>
      </c>
      <c r="J27" s="214">
        <v>2</v>
      </c>
      <c r="K27" s="213">
        <f t="shared" si="0"/>
        <v>100.80399999999999</v>
      </c>
      <c r="M27" s="212"/>
      <c r="N27" s="213"/>
      <c r="O27" s="213"/>
      <c r="P27" s="214"/>
      <c r="Q27" s="213"/>
    </row>
    <row r="28" spans="1:18" ht="15" customHeight="1">
      <c r="A28" s="212"/>
      <c r="E28" s="213">
        <f t="shared" si="3"/>
        <v>0</v>
      </c>
      <c r="G28" s="327"/>
      <c r="H28" s="213">
        <v>4.7</v>
      </c>
      <c r="I28" s="214">
        <v>0.11</v>
      </c>
      <c r="J28" s="214">
        <v>3</v>
      </c>
      <c r="K28" s="213">
        <f t="shared" si="0"/>
        <v>1.5510000000000002</v>
      </c>
      <c r="L28" s="222">
        <f>SUM(K3:K28)</f>
        <v>561.39900000000011</v>
      </c>
      <c r="M28" s="212"/>
      <c r="N28" s="213"/>
      <c r="O28" s="213"/>
      <c r="P28" s="214"/>
      <c r="Q28" s="213"/>
    </row>
    <row r="29" spans="1:18" ht="15" customHeight="1">
      <c r="A29" s="212" t="s">
        <v>290</v>
      </c>
      <c r="B29" s="213">
        <v>1.2</v>
      </c>
      <c r="C29" s="213">
        <v>1.2</v>
      </c>
      <c r="D29" s="213">
        <v>2</v>
      </c>
      <c r="E29" s="213">
        <f t="shared" si="3"/>
        <v>1.44</v>
      </c>
      <c r="G29" s="327"/>
      <c r="H29" s="213"/>
      <c r="I29" s="214"/>
      <c r="J29" s="214"/>
      <c r="K29" s="213"/>
      <c r="M29" s="212"/>
      <c r="N29" s="213"/>
      <c r="O29" s="213"/>
      <c r="P29" s="214"/>
      <c r="Q29" s="213"/>
    </row>
    <row r="30" spans="1:18" ht="15" customHeight="1">
      <c r="A30" s="212"/>
      <c r="B30" s="213">
        <v>0.9</v>
      </c>
      <c r="C30" s="213">
        <v>1.2</v>
      </c>
      <c r="D30" s="213">
        <v>1</v>
      </c>
      <c r="E30" s="213">
        <f t="shared" si="3"/>
        <v>1.08</v>
      </c>
      <c r="G30" s="324" t="s">
        <v>292</v>
      </c>
      <c r="H30" s="213">
        <v>2.0499999999999998</v>
      </c>
      <c r="I30" s="214">
        <v>0.9</v>
      </c>
      <c r="J30" s="214">
        <v>18</v>
      </c>
      <c r="K30" s="213">
        <f>H30*I30*J30</f>
        <v>33.21</v>
      </c>
      <c r="M30" s="211" t="s">
        <v>292</v>
      </c>
      <c r="N30" s="213">
        <v>2.0499999999999998</v>
      </c>
      <c r="O30" s="213">
        <v>0.9</v>
      </c>
      <c r="P30" s="214">
        <v>19</v>
      </c>
      <c r="Q30" s="213">
        <f>N30*O30*P30</f>
        <v>35.055</v>
      </c>
    </row>
    <row r="31" spans="1:18" ht="15" customHeight="1">
      <c r="A31" s="212"/>
      <c r="B31" s="213">
        <v>0.9</v>
      </c>
      <c r="C31" s="213">
        <v>2.0499999999999998</v>
      </c>
      <c r="D31" s="213">
        <v>1</v>
      </c>
      <c r="E31" s="213">
        <f t="shared" si="3"/>
        <v>1.845</v>
      </c>
      <c r="G31" s="327"/>
      <c r="H31" s="213">
        <v>2.0499999999999998</v>
      </c>
      <c r="I31" s="214">
        <v>0.8</v>
      </c>
      <c r="J31" s="214">
        <v>1</v>
      </c>
      <c r="K31" s="213">
        <f t="shared" ref="K31:K40" si="4">H31*I31*J31</f>
        <v>1.64</v>
      </c>
      <c r="M31" s="212"/>
      <c r="N31" s="213">
        <v>2.0499999999999998</v>
      </c>
      <c r="O31" s="213">
        <v>0.8</v>
      </c>
      <c r="P31" s="214">
        <v>1</v>
      </c>
      <c r="Q31" s="213">
        <f t="shared" ref="Q31:Q40" si="5">N31*O31*P31</f>
        <v>1.64</v>
      </c>
    </row>
    <row r="32" spans="1:18" ht="15" customHeight="1">
      <c r="A32" s="212"/>
      <c r="E32" s="213">
        <f t="shared" si="3"/>
        <v>0</v>
      </c>
      <c r="G32" s="327"/>
      <c r="H32" s="213">
        <v>1.95</v>
      </c>
      <c r="I32" s="214">
        <v>0.8</v>
      </c>
      <c r="J32" s="214">
        <v>3</v>
      </c>
      <c r="K32" s="213">
        <f t="shared" si="4"/>
        <v>4.68</v>
      </c>
      <c r="M32" s="212"/>
      <c r="N32" s="213">
        <v>1.95</v>
      </c>
      <c r="O32" s="213">
        <v>0.8</v>
      </c>
      <c r="P32" s="214">
        <v>3</v>
      </c>
      <c r="Q32" s="213">
        <f t="shared" si="5"/>
        <v>4.68</v>
      </c>
    </row>
    <row r="33" spans="1:18" ht="15" customHeight="1">
      <c r="A33" s="212" t="s">
        <v>291</v>
      </c>
      <c r="B33" s="213">
        <v>1.2</v>
      </c>
      <c r="C33" s="213">
        <v>1.2</v>
      </c>
      <c r="D33" s="213">
        <v>4</v>
      </c>
      <c r="E33" s="213">
        <f t="shared" si="3"/>
        <v>1.44</v>
      </c>
      <c r="G33" s="327"/>
      <c r="H33" s="213">
        <v>1.2</v>
      </c>
      <c r="I33" s="214">
        <v>1.2</v>
      </c>
      <c r="J33" s="214">
        <v>9</v>
      </c>
      <c r="K33" s="213">
        <f t="shared" si="4"/>
        <v>12.959999999999999</v>
      </c>
      <c r="M33" s="212"/>
      <c r="N33" s="213">
        <v>1.2</v>
      </c>
      <c r="O33" s="213">
        <v>1.2</v>
      </c>
      <c r="P33" s="214">
        <v>9</v>
      </c>
      <c r="Q33" s="213">
        <f t="shared" si="5"/>
        <v>12.959999999999999</v>
      </c>
    </row>
    <row r="34" spans="1:18" ht="15" customHeight="1">
      <c r="B34" s="213">
        <v>0.9</v>
      </c>
      <c r="C34" s="213">
        <v>1.2</v>
      </c>
      <c r="D34" s="213">
        <v>2</v>
      </c>
      <c r="E34" s="213">
        <f t="shared" si="3"/>
        <v>1.08</v>
      </c>
      <c r="G34" s="325"/>
      <c r="H34" s="213">
        <v>0.9</v>
      </c>
      <c r="I34" s="214">
        <v>0.9</v>
      </c>
      <c r="J34" s="214">
        <v>2</v>
      </c>
      <c r="K34" s="213">
        <f t="shared" si="4"/>
        <v>1.62</v>
      </c>
      <c r="M34"/>
      <c r="N34" s="213">
        <v>0.9</v>
      </c>
      <c r="O34" s="213">
        <v>0.9</v>
      </c>
      <c r="P34" s="214">
        <v>2</v>
      </c>
      <c r="Q34" s="213">
        <f t="shared" si="5"/>
        <v>1.62</v>
      </c>
    </row>
    <row r="35" spans="1:18" ht="15" customHeight="1">
      <c r="D35" s="305" t="s">
        <v>295</v>
      </c>
      <c r="E35" s="305">
        <f>SUM(E17:E34)</f>
        <v>17.755000000000003</v>
      </c>
      <c r="G35" s="325"/>
      <c r="H35" s="213">
        <v>1</v>
      </c>
      <c r="I35" s="214">
        <v>1</v>
      </c>
      <c r="J35" s="216">
        <v>1</v>
      </c>
      <c r="K35" s="213">
        <f t="shared" si="4"/>
        <v>1</v>
      </c>
      <c r="M35"/>
      <c r="N35" s="213">
        <v>1</v>
      </c>
      <c r="O35" s="213">
        <v>1</v>
      </c>
      <c r="P35" s="216">
        <v>1</v>
      </c>
      <c r="Q35" s="213">
        <f t="shared" si="5"/>
        <v>1</v>
      </c>
    </row>
    <row r="36" spans="1:18" ht="15" customHeight="1">
      <c r="A36" s="212"/>
      <c r="G36" s="327"/>
      <c r="H36" s="213">
        <v>1.4</v>
      </c>
      <c r="I36" s="214">
        <v>2.0499999999999998</v>
      </c>
      <c r="J36" s="214">
        <v>1</v>
      </c>
      <c r="K36" s="213">
        <f t="shared" si="4"/>
        <v>2.8699999999999997</v>
      </c>
      <c r="M36" s="212"/>
      <c r="N36" s="213">
        <v>1.4</v>
      </c>
      <c r="O36" s="213">
        <v>2.0499999999999998</v>
      </c>
      <c r="P36" s="214">
        <v>1</v>
      </c>
      <c r="Q36" s="213">
        <f t="shared" si="5"/>
        <v>2.8699999999999997</v>
      </c>
    </row>
    <row r="37" spans="1:18" ht="15" customHeight="1">
      <c r="C37" s="817" t="s">
        <v>296</v>
      </c>
      <c r="D37" s="817"/>
      <c r="E37" s="323">
        <f>+E12-E35</f>
        <v>340.04899999999998</v>
      </c>
      <c r="G37" s="325"/>
      <c r="H37" s="213">
        <v>1.2</v>
      </c>
      <c r="I37" s="221">
        <v>0.9</v>
      </c>
      <c r="J37" s="221">
        <v>1</v>
      </c>
      <c r="K37" s="213">
        <f t="shared" si="4"/>
        <v>1.08</v>
      </c>
      <c r="M37"/>
      <c r="N37" s="213">
        <v>1.2</v>
      </c>
      <c r="O37" s="220">
        <v>0.9</v>
      </c>
      <c r="P37" s="221">
        <v>1</v>
      </c>
      <c r="Q37" s="213">
        <f t="shared" si="5"/>
        <v>1.08</v>
      </c>
    </row>
    <row r="38" spans="1:18" ht="15" customHeight="1">
      <c r="C38" s="301"/>
      <c r="D38" s="301"/>
      <c r="E38" s="323"/>
      <c r="G38" s="325"/>
      <c r="H38" s="213">
        <v>2.5</v>
      </c>
      <c r="I38" s="221">
        <v>2.9</v>
      </c>
      <c r="J38" s="221">
        <v>2</v>
      </c>
      <c r="K38" s="213">
        <f t="shared" si="4"/>
        <v>14.5</v>
      </c>
      <c r="M38"/>
      <c r="N38" s="213">
        <v>2.5</v>
      </c>
      <c r="O38" s="220">
        <v>2.9</v>
      </c>
      <c r="P38" s="221">
        <v>1</v>
      </c>
      <c r="Q38" s="213">
        <f t="shared" si="5"/>
        <v>7.25</v>
      </c>
    </row>
    <row r="39" spans="1:18" ht="15" customHeight="1">
      <c r="C39" s="817" t="s">
        <v>303</v>
      </c>
      <c r="D39" s="817"/>
      <c r="E39" s="323">
        <f>+L42+R42</f>
        <v>983.74900000000025</v>
      </c>
      <c r="H39" s="213">
        <v>0.9</v>
      </c>
      <c r="I39" s="214">
        <v>0.45</v>
      </c>
      <c r="J39" s="214">
        <v>1</v>
      </c>
      <c r="K39" s="213">
        <f t="shared" si="4"/>
        <v>0.40500000000000003</v>
      </c>
      <c r="N39" s="213">
        <v>0.9</v>
      </c>
      <c r="O39" s="213">
        <v>0.45</v>
      </c>
      <c r="P39" s="214">
        <v>1</v>
      </c>
      <c r="Q39" s="213">
        <f t="shared" si="5"/>
        <v>0.40500000000000003</v>
      </c>
    </row>
    <row r="40" spans="1:18" ht="15" customHeight="1">
      <c r="H40" s="213">
        <v>0.5</v>
      </c>
      <c r="I40" s="214">
        <v>0.5</v>
      </c>
      <c r="J40" s="214">
        <v>1</v>
      </c>
      <c r="K40" s="213">
        <f t="shared" si="4"/>
        <v>0.25</v>
      </c>
      <c r="L40" s="222">
        <f>SUM(K30:K40)</f>
        <v>74.215000000000003</v>
      </c>
      <c r="N40" s="213">
        <v>0.5</v>
      </c>
      <c r="O40" s="213">
        <v>0.5</v>
      </c>
      <c r="P40" s="214">
        <v>1</v>
      </c>
      <c r="Q40" s="213">
        <f t="shared" si="5"/>
        <v>0.25</v>
      </c>
      <c r="R40" s="222">
        <f>SUM(Q30:Q40)</f>
        <v>68.81</v>
      </c>
    </row>
    <row r="41" spans="1:18" ht="15" customHeight="1"/>
    <row r="42" spans="1:18" ht="15" customHeight="1">
      <c r="K42" s="224" t="s">
        <v>298</v>
      </c>
      <c r="L42" s="225">
        <f>L28-L40</f>
        <v>487.18400000000008</v>
      </c>
      <c r="Q42" s="224" t="s">
        <v>302</v>
      </c>
      <c r="R42" s="223">
        <f>+R24-R40</f>
        <v>496.56500000000011</v>
      </c>
    </row>
    <row r="43" spans="1:18" ht="15" customHeight="1"/>
    <row r="44" spans="1:18" ht="15" customHeight="1">
      <c r="A44" s="224" t="s">
        <v>304</v>
      </c>
    </row>
    <row r="45" spans="1:18" ht="15" customHeight="1">
      <c r="B45" s="213">
        <v>10.5</v>
      </c>
    </row>
    <row r="46" spans="1:18" ht="15" customHeight="1">
      <c r="B46" s="213">
        <v>6.23</v>
      </c>
    </row>
    <row r="47" spans="1:18" ht="15" customHeight="1">
      <c r="B47" s="213">
        <v>10.5</v>
      </c>
      <c r="D47" s="213">
        <v>17.399999999999999</v>
      </c>
      <c r="E47" s="213">
        <v>8.64</v>
      </c>
      <c r="F47" s="214">
        <v>2</v>
      </c>
      <c r="G47" s="302">
        <f>+D47*E47*F47</f>
        <v>300.67199999999997</v>
      </c>
    </row>
    <row r="48" spans="1:18" ht="15" customHeight="1">
      <c r="B48" s="213">
        <v>39.46</v>
      </c>
    </row>
    <row r="49" spans="2:7" ht="15" customHeight="1">
      <c r="B49" s="213">
        <v>12.25</v>
      </c>
    </row>
    <row r="50" spans="2:7" ht="15" customHeight="1">
      <c r="B50" s="213">
        <v>8.75</v>
      </c>
    </row>
    <row r="51" spans="2:7" ht="15" customHeight="1">
      <c r="B51" s="213">
        <v>10.5</v>
      </c>
    </row>
    <row r="52" spans="2:7" ht="15" customHeight="1">
      <c r="B52" s="213">
        <v>8.75</v>
      </c>
    </row>
    <row r="53" spans="2:7" ht="15" customHeight="1">
      <c r="B53" s="213">
        <v>7.91</v>
      </c>
    </row>
    <row r="54" spans="2:7" ht="15" customHeight="1">
      <c r="B54" s="213">
        <v>21.84</v>
      </c>
    </row>
    <row r="55" spans="2:7" ht="15" customHeight="1"/>
    <row r="56" spans="2:7" ht="15" customHeight="1">
      <c r="B56" s="217">
        <f>SUM(B45:B55)</f>
        <v>136.69</v>
      </c>
    </row>
    <row r="57" spans="2:7" ht="15" customHeight="1">
      <c r="B57" s="213">
        <f>+B56*2</f>
        <v>273.38</v>
      </c>
      <c r="D57" s="303" t="s">
        <v>364</v>
      </c>
      <c r="E57" s="213">
        <v>12.196</v>
      </c>
      <c r="F57" s="214">
        <v>4000</v>
      </c>
      <c r="G57" s="302">
        <f>E57*F57</f>
        <v>48784</v>
      </c>
    </row>
    <row r="58" spans="2:7" ht="15" customHeight="1">
      <c r="E58" s="213">
        <v>0.13800000000000001</v>
      </c>
      <c r="F58" s="214">
        <v>238500</v>
      </c>
      <c r="G58" s="302">
        <f t="shared" ref="G58:G62" si="6">E58*F58</f>
        <v>32913</v>
      </c>
    </row>
    <row r="59" spans="2:7" ht="15" customHeight="1">
      <c r="E59" s="213">
        <v>3.04</v>
      </c>
      <c r="F59" s="214">
        <v>175000</v>
      </c>
      <c r="G59" s="302">
        <f t="shared" si="6"/>
        <v>532000</v>
      </c>
    </row>
    <row r="60" spans="2:7" ht="15" customHeight="1">
      <c r="E60" s="213">
        <v>0.41499999999999998</v>
      </c>
      <c r="F60" s="214">
        <v>390000</v>
      </c>
      <c r="G60" s="302">
        <f t="shared" si="6"/>
        <v>161850</v>
      </c>
    </row>
    <row r="61" spans="2:7" ht="15" customHeight="1">
      <c r="E61" s="213">
        <v>30</v>
      </c>
      <c r="F61" s="214">
        <v>5500</v>
      </c>
      <c r="G61" s="302">
        <f t="shared" si="6"/>
        <v>165000</v>
      </c>
    </row>
    <row r="62" spans="2:7" ht="15" customHeight="1">
      <c r="E62" s="213">
        <v>3.85</v>
      </c>
      <c r="F62" s="214">
        <v>11500</v>
      </c>
      <c r="G62" s="302">
        <f t="shared" si="6"/>
        <v>44275</v>
      </c>
    </row>
    <row r="63" spans="2:7" ht="15" customHeight="1"/>
    <row r="64" spans="2:7" ht="15" customHeight="1">
      <c r="E64" s="213">
        <v>2.5430000000000001</v>
      </c>
      <c r="F64" s="214">
        <v>20000</v>
      </c>
      <c r="G64" s="302">
        <f>E64*F64</f>
        <v>50860</v>
      </c>
    </row>
    <row r="65" spans="1:10">
      <c r="E65" s="213">
        <v>2.5430000000000001</v>
      </c>
      <c r="F65" s="214">
        <v>75000</v>
      </c>
      <c r="G65" s="302">
        <f t="shared" ref="G65:G67" si="7">E65*F65</f>
        <v>190725</v>
      </c>
    </row>
    <row r="66" spans="1:10">
      <c r="E66" s="213">
        <v>1.7809999999999999</v>
      </c>
      <c r="F66" s="214">
        <v>50000</v>
      </c>
      <c r="G66" s="302">
        <f t="shared" si="7"/>
        <v>89050</v>
      </c>
    </row>
    <row r="67" spans="1:10">
      <c r="E67" s="213">
        <v>1.907</v>
      </c>
      <c r="F67" s="214">
        <v>40000</v>
      </c>
      <c r="G67" s="302">
        <f t="shared" si="7"/>
        <v>76280</v>
      </c>
    </row>
    <row r="69" spans="1:10">
      <c r="G69" s="329">
        <f>SUM(G57:G67)</f>
        <v>1391737</v>
      </c>
    </row>
    <row r="73" spans="1:10">
      <c r="A73" s="218" t="s">
        <v>376</v>
      </c>
    </row>
    <row r="74" spans="1:10">
      <c r="B74" s="215" t="s">
        <v>377</v>
      </c>
      <c r="C74" s="213">
        <v>3.23</v>
      </c>
      <c r="D74" s="213">
        <v>1.54</v>
      </c>
      <c r="E74" s="213">
        <v>1.59</v>
      </c>
      <c r="F74" s="214">
        <v>1</v>
      </c>
      <c r="G74" s="302">
        <f>C74*D74*E74*F74</f>
        <v>7.9089780000000003</v>
      </c>
      <c r="H74" s="330">
        <f>SUM(G74:G75)</f>
        <v>8.7332339999999995</v>
      </c>
      <c r="I74" s="332">
        <v>4000</v>
      </c>
      <c r="J74" s="332">
        <f>H74*I74</f>
        <v>34932.936000000002</v>
      </c>
    </row>
    <row r="75" spans="1:10">
      <c r="C75" s="213">
        <v>0.72</v>
      </c>
      <c r="D75" s="213">
        <v>0.72</v>
      </c>
      <c r="E75" s="213">
        <v>1.59</v>
      </c>
      <c r="F75" s="214">
        <v>1</v>
      </c>
      <c r="G75" s="302">
        <f t="shared" ref="G75:G84" si="8">C75*D75*E75*F75</f>
        <v>0.82425599999999999</v>
      </c>
    </row>
    <row r="77" spans="1:10">
      <c r="B77" s="215" t="s">
        <v>378</v>
      </c>
      <c r="C77" s="213">
        <v>3.23</v>
      </c>
      <c r="D77" s="213">
        <v>1.54</v>
      </c>
      <c r="E77" s="213">
        <v>0.05</v>
      </c>
      <c r="F77" s="214">
        <v>1</v>
      </c>
      <c r="G77" s="302">
        <f t="shared" si="8"/>
        <v>0.24870999999999999</v>
      </c>
      <c r="H77" s="330">
        <f>SUM(G77:G78)</f>
        <v>0.27462999999999999</v>
      </c>
      <c r="I77" s="332">
        <f>'BDE moellon '!E22</f>
        <v>238500</v>
      </c>
      <c r="J77" s="332">
        <f t="shared" ref="J77:J88" si="9">H77*I77</f>
        <v>65499.254999999997</v>
      </c>
    </row>
    <row r="78" spans="1:10">
      <c r="C78" s="213">
        <v>0.72</v>
      </c>
      <c r="D78" s="213">
        <v>0.72</v>
      </c>
      <c r="E78" s="213">
        <v>0.05</v>
      </c>
      <c r="F78" s="214">
        <v>1</v>
      </c>
      <c r="G78" s="302">
        <f t="shared" si="8"/>
        <v>2.5919999999999999E-2</v>
      </c>
    </row>
    <row r="80" spans="1:10">
      <c r="B80" s="215" t="s">
        <v>379</v>
      </c>
      <c r="C80" s="213">
        <v>3.23</v>
      </c>
      <c r="D80" s="213">
        <v>1.54</v>
      </c>
      <c r="E80" s="213">
        <v>0.12</v>
      </c>
      <c r="F80" s="214">
        <v>2</v>
      </c>
      <c r="G80" s="302">
        <f t="shared" si="8"/>
        <v>1.193808</v>
      </c>
      <c r="H80" s="336">
        <v>3.8959999999999999</v>
      </c>
      <c r="I80" s="332">
        <f>'BDE moellon '!E25</f>
        <v>390000</v>
      </c>
      <c r="J80" s="332">
        <f t="shared" si="9"/>
        <v>1519440</v>
      </c>
    </row>
    <row r="81" spans="2:10">
      <c r="C81" s="213">
        <v>0.72</v>
      </c>
      <c r="D81" s="213">
        <v>0.72</v>
      </c>
      <c r="E81" s="213">
        <v>0.12</v>
      </c>
      <c r="F81" s="214">
        <v>2</v>
      </c>
      <c r="G81" s="302">
        <f t="shared" si="8"/>
        <v>0.12441599999999998</v>
      </c>
    </row>
    <row r="82" spans="2:10">
      <c r="C82" s="213">
        <v>3.95</v>
      </c>
      <c r="D82" s="213">
        <v>1.3</v>
      </c>
      <c r="E82" s="213">
        <v>0.12</v>
      </c>
      <c r="F82" s="214">
        <v>2</v>
      </c>
      <c r="G82" s="302">
        <f t="shared" si="8"/>
        <v>1.2324000000000002</v>
      </c>
    </row>
    <row r="83" spans="2:10">
      <c r="C83" s="213">
        <v>1.3</v>
      </c>
      <c r="D83" s="213">
        <v>1.3</v>
      </c>
      <c r="E83" s="213">
        <v>0.12</v>
      </c>
      <c r="F83" s="214">
        <v>4</v>
      </c>
      <c r="G83" s="302">
        <f t="shared" si="8"/>
        <v>0.81120000000000003</v>
      </c>
    </row>
    <row r="84" spans="2:10">
      <c r="C84" s="213">
        <v>1.3</v>
      </c>
      <c r="D84" s="213">
        <v>0.6</v>
      </c>
      <c r="E84" s="213">
        <v>0.6</v>
      </c>
      <c r="F84" s="214">
        <v>1</v>
      </c>
      <c r="G84" s="302">
        <f t="shared" si="8"/>
        <v>0.46799999999999997</v>
      </c>
    </row>
    <row r="86" spans="2:10">
      <c r="B86" s="215" t="s">
        <v>380</v>
      </c>
      <c r="G86" s="335"/>
      <c r="H86" s="331">
        <f>H80*70</f>
        <v>272.71999999999997</v>
      </c>
      <c r="I86" s="332">
        <f>'BDE moellon '!E26</f>
        <v>5500</v>
      </c>
      <c r="J86" s="332">
        <f t="shared" si="9"/>
        <v>1499959.9999999998</v>
      </c>
    </row>
    <row r="88" spans="2:10">
      <c r="B88" s="215" t="s">
        <v>381</v>
      </c>
      <c r="H88" s="331">
        <f>H80*8</f>
        <v>31.167999999999999</v>
      </c>
      <c r="I88" s="332">
        <f>'BDE moellon '!E27</f>
        <v>11500</v>
      </c>
      <c r="J88" s="332">
        <f t="shared" si="9"/>
        <v>358432</v>
      </c>
    </row>
    <row r="91" spans="2:10">
      <c r="H91" s="212" t="s">
        <v>382</v>
      </c>
      <c r="I91" s="333" t="s">
        <v>16</v>
      </c>
      <c r="J91" s="333">
        <f>SUM(J74:J88)</f>
        <v>3478264.1909999996</v>
      </c>
    </row>
    <row r="92" spans="2:10">
      <c r="D92" s="302"/>
      <c r="F92" s="213"/>
    </row>
    <row r="93" spans="2:10">
      <c r="D93" s="302"/>
      <c r="F93" s="213"/>
    </row>
  </sheetData>
  <mergeCells count="2">
    <mergeCell ref="C37:D37"/>
    <mergeCell ref="C39:D39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1"/>
  <sheetViews>
    <sheetView topLeftCell="A16" workbookViewId="0">
      <selection activeCell="D35" sqref="D35"/>
    </sheetView>
  </sheetViews>
  <sheetFormatPr baseColWidth="10" defaultRowHeight="12.75"/>
  <cols>
    <col min="1" max="1" width="12.85546875" style="413" customWidth="1"/>
    <col min="2" max="2" width="8.42578125" style="413" customWidth="1"/>
    <col min="3" max="3" width="12.85546875" style="426" customWidth="1"/>
    <col min="4" max="4" width="12.85546875" style="413" customWidth="1"/>
    <col min="5" max="5" width="12.85546875" style="426" customWidth="1"/>
    <col min="6" max="6" width="11.42578125" style="412"/>
    <col min="7" max="7" width="14.42578125" style="412" customWidth="1"/>
    <col min="8" max="8" width="12.7109375" style="412" customWidth="1"/>
    <col min="9" max="9" width="11.42578125" style="413"/>
    <col min="10" max="10" width="13.5703125" style="413" customWidth="1"/>
    <col min="11" max="11" width="11.42578125" style="414"/>
    <col min="12" max="12" width="11.42578125" style="415"/>
    <col min="13" max="13" width="11.42578125" style="421"/>
    <col min="14" max="14" width="11.42578125" style="412"/>
    <col min="15" max="16" width="7.42578125" style="412" customWidth="1"/>
    <col min="17" max="16384" width="11.42578125" style="412"/>
  </cols>
  <sheetData>
    <row r="1" spans="1:16" ht="25.5" customHeight="1">
      <c r="A1" s="818" t="s">
        <v>413</v>
      </c>
      <c r="B1" s="818"/>
      <c r="C1" s="818"/>
      <c r="D1" s="818"/>
      <c r="E1" s="818"/>
    </row>
    <row r="2" spans="1:16" ht="21" customHeight="1">
      <c r="A2" s="416" t="s">
        <v>385</v>
      </c>
      <c r="B2" s="416" t="s">
        <v>419</v>
      </c>
      <c r="C2" s="417" t="s">
        <v>386</v>
      </c>
      <c r="D2" s="416" t="s">
        <v>387</v>
      </c>
      <c r="E2" s="417" t="s">
        <v>16</v>
      </c>
    </row>
    <row r="3" spans="1:16" ht="18" customHeight="1">
      <c r="A3" s="418">
        <v>1</v>
      </c>
      <c r="B3" s="419">
        <v>8</v>
      </c>
      <c r="C3" s="420">
        <v>2.1800000000000002</v>
      </c>
      <c r="D3" s="418">
        <v>18</v>
      </c>
      <c r="E3" s="420">
        <f>+C3*D3</f>
        <v>39.24</v>
      </c>
      <c r="I3" s="421" t="s">
        <v>398</v>
      </c>
      <c r="J3" s="421" t="s">
        <v>420</v>
      </c>
      <c r="K3" s="422" t="s">
        <v>399</v>
      </c>
      <c r="L3" s="423">
        <v>0.1</v>
      </c>
      <c r="M3" s="421" t="s">
        <v>400</v>
      </c>
    </row>
    <row r="4" spans="1:16" ht="18" customHeight="1">
      <c r="A4" s="419">
        <v>2</v>
      </c>
      <c r="B4" s="419">
        <v>8</v>
      </c>
      <c r="C4" s="420">
        <v>3.97</v>
      </c>
      <c r="D4" s="418">
        <v>8</v>
      </c>
      <c r="E4" s="420">
        <f t="shared" ref="E4:E22" si="0">+C4*D4</f>
        <v>31.76</v>
      </c>
      <c r="G4" s="424" t="s">
        <v>394</v>
      </c>
      <c r="H4" s="425">
        <f>E9+E13+E14</f>
        <v>136.26000000000002</v>
      </c>
      <c r="I4" s="413">
        <v>0.222</v>
      </c>
      <c r="J4" s="430">
        <f>H4*I4</f>
        <v>30.249720000000003</v>
      </c>
      <c r="K4" s="426">
        <f>+H4/11.7</f>
        <v>11.646153846153849</v>
      </c>
      <c r="L4" s="415">
        <f>+K4*1.1</f>
        <v>12.810769230769235</v>
      </c>
      <c r="M4" s="429">
        <v>13</v>
      </c>
      <c r="N4" s="424" t="s">
        <v>401</v>
      </c>
      <c r="P4" s="412">
        <f>+M4+O4</f>
        <v>13</v>
      </c>
    </row>
    <row r="5" spans="1:16" ht="18" customHeight="1">
      <c r="A5" s="418">
        <v>3</v>
      </c>
      <c r="B5" s="419">
        <v>8</v>
      </c>
      <c r="C5" s="420">
        <v>2.0099999999999998</v>
      </c>
      <c r="D5" s="418">
        <v>5</v>
      </c>
      <c r="E5" s="420">
        <f t="shared" si="0"/>
        <v>10.049999999999999</v>
      </c>
      <c r="G5" s="424" t="s">
        <v>395</v>
      </c>
      <c r="H5" s="425">
        <f>E3+E4+E5+E6+E7+E8+E10+E11+E12+E15+E16+E17+E18+E19+E20+E21+E22</f>
        <v>301.6699999999999</v>
      </c>
      <c r="I5" s="413">
        <v>0.39500000000000002</v>
      </c>
      <c r="J5" s="430">
        <f t="shared" ref="J5" si="1">H5*I5</f>
        <v>119.15964999999997</v>
      </c>
      <c r="K5" s="426">
        <f>+H5/11.7</f>
        <v>25.783760683760676</v>
      </c>
      <c r="L5" s="415">
        <f>+K5*1.1</f>
        <v>28.362136752136745</v>
      </c>
      <c r="M5" s="429">
        <v>29</v>
      </c>
      <c r="N5" s="424" t="s">
        <v>401</v>
      </c>
      <c r="P5" s="412">
        <f t="shared" ref="P5:P7" si="2">+M5+O5</f>
        <v>29</v>
      </c>
    </row>
    <row r="6" spans="1:16" ht="18" customHeight="1">
      <c r="A6" s="418">
        <v>4</v>
      </c>
      <c r="B6" s="419">
        <v>8</v>
      </c>
      <c r="C6" s="420">
        <v>1.58</v>
      </c>
      <c r="D6" s="418">
        <v>4</v>
      </c>
      <c r="E6" s="420">
        <f t="shared" si="0"/>
        <v>6.32</v>
      </c>
      <c r="G6" s="424" t="s">
        <v>421</v>
      </c>
      <c r="H6" s="425"/>
      <c r="J6" s="430"/>
      <c r="K6" s="426"/>
      <c r="M6" s="429">
        <v>2</v>
      </c>
      <c r="N6" s="424" t="s">
        <v>401</v>
      </c>
      <c r="P6" s="412">
        <f t="shared" si="2"/>
        <v>2</v>
      </c>
    </row>
    <row r="7" spans="1:16" ht="18" customHeight="1">
      <c r="A7" s="419">
        <v>5</v>
      </c>
      <c r="B7" s="419">
        <v>8</v>
      </c>
      <c r="C7" s="420">
        <v>2.0299999999999998</v>
      </c>
      <c r="D7" s="418">
        <v>32</v>
      </c>
      <c r="E7" s="420">
        <f t="shared" si="0"/>
        <v>64.959999999999994</v>
      </c>
      <c r="G7" s="424"/>
      <c r="H7" s="425"/>
      <c r="J7" s="432"/>
      <c r="K7" s="426"/>
      <c r="M7" s="429"/>
      <c r="N7" s="424"/>
      <c r="P7" s="412">
        <f t="shared" si="2"/>
        <v>0</v>
      </c>
    </row>
    <row r="8" spans="1:16" ht="18" customHeight="1">
      <c r="A8" s="418" t="s">
        <v>414</v>
      </c>
      <c r="B8" s="419">
        <v>8</v>
      </c>
      <c r="C8" s="420">
        <v>2.0299999999999998</v>
      </c>
      <c r="D8" s="418">
        <v>30</v>
      </c>
      <c r="E8" s="420">
        <f t="shared" si="0"/>
        <v>60.899999999999991</v>
      </c>
      <c r="G8" s="424"/>
    </row>
    <row r="9" spans="1:16" ht="18" customHeight="1">
      <c r="A9" s="428">
        <v>6</v>
      </c>
      <c r="B9" s="346">
        <v>6</v>
      </c>
      <c r="C9" s="347">
        <v>8.98</v>
      </c>
      <c r="D9" s="428">
        <v>9</v>
      </c>
      <c r="E9" s="347">
        <f t="shared" si="0"/>
        <v>80.820000000000007</v>
      </c>
      <c r="J9" s="431"/>
      <c r="K9" s="427"/>
    </row>
    <row r="10" spans="1:16" ht="18" customHeight="1">
      <c r="A10" s="418">
        <v>7</v>
      </c>
      <c r="B10" s="419">
        <v>8</v>
      </c>
      <c r="C10" s="420">
        <v>0.44</v>
      </c>
      <c r="D10" s="418">
        <v>4</v>
      </c>
      <c r="E10" s="420">
        <f t="shared" si="0"/>
        <v>1.76</v>
      </c>
      <c r="G10" s="424"/>
    </row>
    <row r="11" spans="1:16" ht="18" customHeight="1">
      <c r="A11" s="418" t="s">
        <v>415</v>
      </c>
      <c r="B11" s="419">
        <v>8</v>
      </c>
      <c r="C11" s="420">
        <v>0.44</v>
      </c>
      <c r="D11" s="418">
        <v>14</v>
      </c>
      <c r="E11" s="420">
        <f t="shared" si="0"/>
        <v>6.16</v>
      </c>
    </row>
    <row r="12" spans="1:16" ht="18" customHeight="1">
      <c r="A12" s="418">
        <v>8</v>
      </c>
      <c r="B12" s="419">
        <v>8</v>
      </c>
      <c r="C12" s="420">
        <v>1.32</v>
      </c>
      <c r="D12" s="418">
        <v>2</v>
      </c>
      <c r="E12" s="420">
        <f t="shared" si="0"/>
        <v>2.64</v>
      </c>
    </row>
    <row r="13" spans="1:16" ht="18" customHeight="1">
      <c r="A13" s="428">
        <v>9</v>
      </c>
      <c r="B13" s="346">
        <v>6</v>
      </c>
      <c r="C13" s="347">
        <v>1.62</v>
      </c>
      <c r="D13" s="428">
        <v>18</v>
      </c>
      <c r="E13" s="347">
        <f t="shared" si="0"/>
        <v>29.160000000000004</v>
      </c>
    </row>
    <row r="14" spans="1:16" ht="18" customHeight="1">
      <c r="A14" s="428">
        <v>10</v>
      </c>
      <c r="B14" s="346">
        <v>6</v>
      </c>
      <c r="C14" s="347">
        <v>2.92</v>
      </c>
      <c r="D14" s="428">
        <v>9</v>
      </c>
      <c r="E14" s="347">
        <f t="shared" si="0"/>
        <v>26.28</v>
      </c>
    </row>
    <row r="15" spans="1:16" ht="18" customHeight="1">
      <c r="A15" s="418">
        <v>11</v>
      </c>
      <c r="B15" s="419">
        <v>8</v>
      </c>
      <c r="C15" s="420">
        <v>1.32</v>
      </c>
      <c r="D15" s="418">
        <v>4</v>
      </c>
      <c r="E15" s="420">
        <f t="shared" si="0"/>
        <v>5.28</v>
      </c>
    </row>
    <row r="16" spans="1:16" ht="18" customHeight="1">
      <c r="A16" s="418" t="s">
        <v>416</v>
      </c>
      <c r="B16" s="419">
        <v>8</v>
      </c>
      <c r="C16" s="420">
        <v>1.32</v>
      </c>
      <c r="D16" s="418">
        <v>5</v>
      </c>
      <c r="E16" s="420">
        <f t="shared" si="0"/>
        <v>6.6000000000000005</v>
      </c>
    </row>
    <row r="17" spans="1:5" ht="18" customHeight="1">
      <c r="A17" s="418">
        <v>12</v>
      </c>
      <c r="B17" s="419">
        <v>8</v>
      </c>
      <c r="C17" s="420">
        <v>2.19</v>
      </c>
      <c r="D17" s="418">
        <v>4</v>
      </c>
      <c r="E17" s="420">
        <f t="shared" si="0"/>
        <v>8.76</v>
      </c>
    </row>
    <row r="18" spans="1:5" ht="18" customHeight="1">
      <c r="A18" s="418">
        <v>13</v>
      </c>
      <c r="B18" s="419">
        <v>8</v>
      </c>
      <c r="C18" s="420">
        <v>1.65</v>
      </c>
      <c r="D18" s="418">
        <v>13</v>
      </c>
      <c r="E18" s="420">
        <f t="shared" si="0"/>
        <v>21.45</v>
      </c>
    </row>
    <row r="19" spans="1:5" ht="18" customHeight="1">
      <c r="A19" s="418" t="s">
        <v>417</v>
      </c>
      <c r="B19" s="419">
        <v>8</v>
      </c>
      <c r="C19" s="420">
        <v>1.65</v>
      </c>
      <c r="D19" s="418">
        <v>6</v>
      </c>
      <c r="E19" s="420">
        <f t="shared" si="0"/>
        <v>9.8999999999999986</v>
      </c>
    </row>
    <row r="20" spans="1:5" ht="18" customHeight="1">
      <c r="A20" s="418" t="s">
        <v>418</v>
      </c>
      <c r="B20" s="419">
        <v>8</v>
      </c>
      <c r="C20" s="420">
        <v>1.65</v>
      </c>
      <c r="D20" s="418">
        <v>8</v>
      </c>
      <c r="E20" s="420">
        <f t="shared" si="0"/>
        <v>13.2</v>
      </c>
    </row>
    <row r="21" spans="1:5" ht="18" customHeight="1">
      <c r="A21" s="418">
        <v>14</v>
      </c>
      <c r="B21" s="419">
        <v>8</v>
      </c>
      <c r="C21" s="420">
        <v>0.79</v>
      </c>
      <c r="D21" s="418">
        <v>8</v>
      </c>
      <c r="E21" s="420">
        <f t="shared" si="0"/>
        <v>6.32</v>
      </c>
    </row>
    <row r="22" spans="1:5" ht="18" customHeight="1">
      <c r="A22" s="418">
        <v>15</v>
      </c>
      <c r="B22" s="419">
        <v>8</v>
      </c>
      <c r="C22" s="420">
        <v>0.91</v>
      </c>
      <c r="D22" s="418">
        <v>7</v>
      </c>
      <c r="E22" s="420">
        <f t="shared" si="0"/>
        <v>6.37</v>
      </c>
    </row>
    <row r="23" spans="1:5" ht="18" customHeight="1"/>
    <row r="24" spans="1:5">
      <c r="A24" s="433" t="s">
        <v>421</v>
      </c>
    </row>
    <row r="25" spans="1:5" ht="18" customHeight="1">
      <c r="A25" s="418">
        <v>16</v>
      </c>
      <c r="B25" s="419">
        <v>8</v>
      </c>
      <c r="C25" s="420">
        <v>0.7</v>
      </c>
      <c r="D25" s="418">
        <v>14</v>
      </c>
      <c r="E25" s="420">
        <f t="shared" ref="E25:E26" si="3">+C25*D25</f>
        <v>9.7999999999999989</v>
      </c>
    </row>
    <row r="26" spans="1:5" ht="18" customHeight="1">
      <c r="A26" s="418">
        <v>17</v>
      </c>
      <c r="B26" s="419">
        <v>8</v>
      </c>
      <c r="C26" s="420">
        <v>1.08</v>
      </c>
      <c r="D26" s="418">
        <v>10</v>
      </c>
      <c r="E26" s="420">
        <f t="shared" si="3"/>
        <v>10.8</v>
      </c>
    </row>
    <row r="29" spans="1:5">
      <c r="A29" s="433" t="s">
        <v>421</v>
      </c>
    </row>
    <row r="30" spans="1:5" ht="18" customHeight="1">
      <c r="A30" s="418">
        <v>18</v>
      </c>
      <c r="B30" s="419">
        <v>6</v>
      </c>
      <c r="C30" s="420">
        <v>1.41</v>
      </c>
      <c r="D30" s="418">
        <v>4</v>
      </c>
      <c r="E30" s="420">
        <f t="shared" ref="E30:E31" si="4">+C30*D30</f>
        <v>5.64</v>
      </c>
    </row>
    <row r="31" spans="1:5" ht="18" customHeight="1">
      <c r="A31" s="418">
        <v>19</v>
      </c>
      <c r="B31" s="419">
        <v>8</v>
      </c>
      <c r="C31" s="420">
        <v>0.65</v>
      </c>
      <c r="D31" s="418">
        <v>8</v>
      </c>
      <c r="E31" s="420">
        <f t="shared" si="4"/>
        <v>5.2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0"/>
  <sheetViews>
    <sheetView topLeftCell="A10" workbookViewId="0">
      <selection activeCell="C30" sqref="C30"/>
    </sheetView>
  </sheetViews>
  <sheetFormatPr baseColWidth="10" defaultRowHeight="12.75"/>
  <cols>
    <col min="1" max="1" width="16.140625" customWidth="1"/>
    <col min="2" max="2" width="11.5703125" style="345" customWidth="1"/>
    <col min="3" max="3" width="11.5703125" style="213" customWidth="1"/>
    <col min="4" max="12" width="11.5703125" customWidth="1"/>
  </cols>
  <sheetData>
    <row r="1" spans="1:13" ht="21" customHeight="1">
      <c r="A1" s="819" t="s">
        <v>481</v>
      </c>
      <c r="B1" s="819"/>
      <c r="C1" s="507"/>
    </row>
    <row r="2" spans="1:13" ht="18" customHeight="1">
      <c r="A2" s="820"/>
      <c r="B2" s="820"/>
      <c r="K2" s="467"/>
    </row>
    <row r="3" spans="1:13" ht="17.25" customHeight="1">
      <c r="A3" s="442" t="s">
        <v>457</v>
      </c>
      <c r="B3" s="70">
        <v>4.03</v>
      </c>
      <c r="C3" s="70">
        <v>1.81</v>
      </c>
      <c r="D3" s="70">
        <v>3.01</v>
      </c>
      <c r="E3" s="70">
        <v>2.5299999999999998</v>
      </c>
      <c r="F3" s="70">
        <v>2.33</v>
      </c>
      <c r="G3" s="70">
        <v>3.75</v>
      </c>
      <c r="H3" s="70">
        <v>3.53</v>
      </c>
      <c r="I3" s="70">
        <v>1.23</v>
      </c>
      <c r="J3" s="449"/>
      <c r="K3" s="449"/>
      <c r="L3" s="449"/>
    </row>
    <row r="4" spans="1:13" ht="17.25" customHeight="1">
      <c r="A4" s="442" t="s">
        <v>478</v>
      </c>
      <c r="B4" s="506">
        <v>0.05</v>
      </c>
      <c r="C4" s="506">
        <v>0.05</v>
      </c>
      <c r="D4" s="506">
        <v>0.05</v>
      </c>
      <c r="E4" s="506">
        <v>0.05</v>
      </c>
      <c r="F4" s="506">
        <v>0.05</v>
      </c>
      <c r="G4" s="506">
        <v>0.05</v>
      </c>
      <c r="H4" s="506">
        <v>0.05</v>
      </c>
      <c r="I4" s="506">
        <v>0.05</v>
      </c>
      <c r="J4" s="449"/>
      <c r="K4" s="449"/>
      <c r="L4" s="449"/>
    </row>
    <row r="5" spans="1:13" ht="17.25" customHeight="1">
      <c r="A5" s="442" t="s">
        <v>479</v>
      </c>
      <c r="B5" s="506">
        <v>0.2</v>
      </c>
      <c r="C5" s="506">
        <v>0.2</v>
      </c>
      <c r="D5" s="506">
        <v>0.2</v>
      </c>
      <c r="E5" s="506">
        <v>0.2</v>
      </c>
      <c r="F5" s="506">
        <v>0.2</v>
      </c>
      <c r="G5" s="506">
        <v>0.2</v>
      </c>
      <c r="H5" s="506">
        <v>0.2</v>
      </c>
      <c r="I5" s="506">
        <v>0.2</v>
      </c>
      <c r="J5" s="449"/>
      <c r="K5" s="449"/>
      <c r="L5" s="449"/>
    </row>
    <row r="6" spans="1:13" s="441" customFormat="1" ht="17.25" customHeight="1">
      <c r="A6" s="444" t="s">
        <v>434</v>
      </c>
      <c r="B6" s="453">
        <f>+B3*B4*B5</f>
        <v>4.0300000000000002E-2</v>
      </c>
      <c r="C6" s="453">
        <f t="shared" ref="C6:I6" si="0">+C3*C4*C5</f>
        <v>1.8100000000000002E-2</v>
      </c>
      <c r="D6" s="453">
        <f t="shared" si="0"/>
        <v>3.0100000000000002E-2</v>
      </c>
      <c r="E6" s="453">
        <f t="shared" si="0"/>
        <v>2.5300000000000003E-2</v>
      </c>
      <c r="F6" s="453">
        <f t="shared" si="0"/>
        <v>2.3300000000000001E-2</v>
      </c>
      <c r="G6" s="453">
        <f t="shared" si="0"/>
        <v>3.7500000000000006E-2</v>
      </c>
      <c r="H6" s="453">
        <f t="shared" si="0"/>
        <v>3.5299999999999998E-2</v>
      </c>
      <c r="I6" s="453">
        <f t="shared" si="0"/>
        <v>1.23E-2</v>
      </c>
      <c r="J6" s="498"/>
      <c r="K6" s="469"/>
      <c r="L6" s="469"/>
    </row>
    <row r="7" spans="1:13" s="441" customFormat="1" ht="17.25" customHeight="1">
      <c r="A7" s="442" t="s">
        <v>435</v>
      </c>
      <c r="B7" s="451">
        <v>4</v>
      </c>
      <c r="C7" s="451">
        <v>4</v>
      </c>
      <c r="D7" s="451">
        <v>4</v>
      </c>
      <c r="E7" s="451">
        <v>4</v>
      </c>
      <c r="F7" s="451">
        <v>4</v>
      </c>
      <c r="G7" s="451">
        <v>4</v>
      </c>
      <c r="H7" s="452">
        <v>16</v>
      </c>
      <c r="I7" s="452">
        <v>6</v>
      </c>
      <c r="J7" s="497"/>
      <c r="K7" s="468"/>
      <c r="L7" s="468"/>
    </row>
    <row r="8" spans="1:13" s="441" customFormat="1" ht="17.25" customHeight="1">
      <c r="A8" s="508" t="s">
        <v>446</v>
      </c>
      <c r="B8" s="455">
        <f>+B6*B7</f>
        <v>0.16120000000000001</v>
      </c>
      <c r="C8" s="455">
        <f t="shared" ref="C8:I8" si="1">+C6*C7</f>
        <v>7.2400000000000006E-2</v>
      </c>
      <c r="D8" s="455">
        <f t="shared" si="1"/>
        <v>0.12040000000000001</v>
      </c>
      <c r="E8" s="455">
        <f t="shared" si="1"/>
        <v>0.10120000000000001</v>
      </c>
      <c r="F8" s="455">
        <f t="shared" si="1"/>
        <v>9.3200000000000005E-2</v>
      </c>
      <c r="G8" s="455">
        <f t="shared" si="1"/>
        <v>0.15000000000000002</v>
      </c>
      <c r="H8" s="455">
        <f t="shared" si="1"/>
        <v>0.56479999999999997</v>
      </c>
      <c r="I8" s="455">
        <f t="shared" si="1"/>
        <v>7.3800000000000004E-2</v>
      </c>
      <c r="J8" s="499">
        <f>SUM(B8:I8)</f>
        <v>1.337</v>
      </c>
      <c r="K8" s="493" t="s">
        <v>2</v>
      </c>
      <c r="L8" s="470"/>
      <c r="M8" s="466"/>
    </row>
    <row r="12" spans="1:13" ht="21" customHeight="1">
      <c r="A12" s="819" t="s">
        <v>480</v>
      </c>
      <c r="B12" s="819"/>
      <c r="C12" s="507"/>
    </row>
    <row r="13" spans="1:13" ht="18" customHeight="1">
      <c r="A13" s="820"/>
      <c r="B13" s="820"/>
      <c r="K13" s="467"/>
    </row>
    <row r="14" spans="1:13" ht="17.25" customHeight="1">
      <c r="A14" s="442" t="s">
        <v>457</v>
      </c>
      <c r="B14" s="70">
        <v>4.03</v>
      </c>
      <c r="C14" s="70">
        <v>1.81</v>
      </c>
      <c r="D14" s="70">
        <v>3.01</v>
      </c>
      <c r="E14" s="70">
        <v>2.5299999999999998</v>
      </c>
      <c r="F14" s="70">
        <v>2.33</v>
      </c>
      <c r="G14" s="70">
        <v>3.75</v>
      </c>
      <c r="H14" s="70">
        <v>3.53</v>
      </c>
      <c r="I14" s="70">
        <v>1.23</v>
      </c>
      <c r="J14" s="449"/>
      <c r="K14" s="449"/>
      <c r="L14" s="449"/>
    </row>
    <row r="15" spans="1:13" ht="17.25" customHeight="1">
      <c r="A15" s="442" t="s">
        <v>478</v>
      </c>
      <c r="B15" s="506">
        <v>0.4</v>
      </c>
      <c r="C15" s="506">
        <v>0.4</v>
      </c>
      <c r="D15" s="506">
        <v>0.4</v>
      </c>
      <c r="E15" s="506">
        <v>0.4</v>
      </c>
      <c r="F15" s="506">
        <v>0.4</v>
      </c>
      <c r="G15" s="506">
        <v>0.4</v>
      </c>
      <c r="H15" s="506">
        <v>0.4</v>
      </c>
      <c r="I15" s="506">
        <v>0.4</v>
      </c>
      <c r="J15" s="449"/>
      <c r="K15" s="449"/>
      <c r="L15" s="449"/>
    </row>
    <row r="16" spans="1:13" ht="17.25" customHeight="1">
      <c r="A16" s="442" t="s">
        <v>479</v>
      </c>
      <c r="B16" s="506">
        <v>0.2</v>
      </c>
      <c r="C16" s="506">
        <v>0.2</v>
      </c>
      <c r="D16" s="506">
        <v>0.2</v>
      </c>
      <c r="E16" s="506">
        <v>0.2</v>
      </c>
      <c r="F16" s="506">
        <v>0.2</v>
      </c>
      <c r="G16" s="506">
        <v>0.2</v>
      </c>
      <c r="H16" s="506">
        <v>0.2</v>
      </c>
      <c r="I16" s="506">
        <v>0.2</v>
      </c>
      <c r="J16" s="449"/>
      <c r="K16" s="449"/>
      <c r="L16" s="449"/>
    </row>
    <row r="17" spans="1:13" s="441" customFormat="1" ht="17.25" customHeight="1">
      <c r="A17" s="444" t="s">
        <v>434</v>
      </c>
      <c r="B17" s="453">
        <f>+B14*B15*B16</f>
        <v>0.32240000000000002</v>
      </c>
      <c r="C17" s="453">
        <f t="shared" ref="C17:I17" si="2">+C14*C15*C16</f>
        <v>0.14480000000000001</v>
      </c>
      <c r="D17" s="453">
        <f t="shared" si="2"/>
        <v>0.24080000000000001</v>
      </c>
      <c r="E17" s="453">
        <f t="shared" si="2"/>
        <v>0.20240000000000002</v>
      </c>
      <c r="F17" s="453">
        <f t="shared" si="2"/>
        <v>0.18640000000000001</v>
      </c>
      <c r="G17" s="453">
        <f t="shared" si="2"/>
        <v>0.30000000000000004</v>
      </c>
      <c r="H17" s="453">
        <f t="shared" si="2"/>
        <v>0.28239999999999998</v>
      </c>
      <c r="I17" s="453">
        <f t="shared" si="2"/>
        <v>9.8400000000000001E-2</v>
      </c>
      <c r="J17" s="498"/>
      <c r="K17" s="469"/>
      <c r="L17" s="469"/>
    </row>
    <row r="18" spans="1:13" s="441" customFormat="1" ht="17.25" customHeight="1">
      <c r="A18" s="442" t="s">
        <v>435</v>
      </c>
      <c r="B18" s="451">
        <v>4</v>
      </c>
      <c r="C18" s="451">
        <v>4</v>
      </c>
      <c r="D18" s="451">
        <v>4</v>
      </c>
      <c r="E18" s="451">
        <v>4</v>
      </c>
      <c r="F18" s="451">
        <v>4</v>
      </c>
      <c r="G18" s="451">
        <v>4</v>
      </c>
      <c r="H18" s="452">
        <v>16</v>
      </c>
      <c r="I18" s="452">
        <v>6</v>
      </c>
      <c r="J18" s="497"/>
      <c r="K18" s="468"/>
      <c r="L18" s="468"/>
    </row>
    <row r="19" spans="1:13" s="441" customFormat="1" ht="17.25" customHeight="1">
      <c r="A19" s="508" t="s">
        <v>446</v>
      </c>
      <c r="B19" s="455">
        <f>+B17*B18</f>
        <v>1.2896000000000001</v>
      </c>
      <c r="C19" s="455">
        <f t="shared" ref="C19:I19" si="3">+C17*C18</f>
        <v>0.57920000000000005</v>
      </c>
      <c r="D19" s="455">
        <f t="shared" si="3"/>
        <v>0.96320000000000006</v>
      </c>
      <c r="E19" s="455">
        <f t="shared" si="3"/>
        <v>0.8096000000000001</v>
      </c>
      <c r="F19" s="455">
        <f t="shared" si="3"/>
        <v>0.74560000000000004</v>
      </c>
      <c r="G19" s="455">
        <f t="shared" si="3"/>
        <v>1.2000000000000002</v>
      </c>
      <c r="H19" s="455">
        <f t="shared" si="3"/>
        <v>4.5183999999999997</v>
      </c>
      <c r="I19" s="455">
        <f t="shared" si="3"/>
        <v>0.59040000000000004</v>
      </c>
      <c r="J19" s="499">
        <f>SUM(B19:I19)</f>
        <v>10.696</v>
      </c>
      <c r="K19" s="493" t="s">
        <v>2</v>
      </c>
      <c r="L19" s="470"/>
      <c r="M19" s="466"/>
    </row>
    <row r="20" spans="1:13" ht="18" customHeight="1">
      <c r="K20" s="467"/>
    </row>
  </sheetData>
  <mergeCells count="4">
    <mergeCell ref="A1:B1"/>
    <mergeCell ref="A2:B2"/>
    <mergeCell ref="A12:B12"/>
    <mergeCell ref="A13:B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BDQ moellon</vt:lpstr>
      <vt:lpstr>BDE moellon </vt:lpstr>
      <vt:lpstr>BDQ béton</vt:lpstr>
      <vt:lpstr>FACTURE Mtx</vt:lpstr>
      <vt:lpstr>BDE béton original</vt:lpstr>
      <vt:lpstr>PRIX MATX</vt:lpstr>
      <vt:lpstr>Enduit</vt:lpstr>
      <vt:lpstr>WC</vt:lpstr>
      <vt:lpstr>Longrine béton</vt:lpstr>
      <vt:lpstr>Longrine ferrl</vt:lpstr>
      <vt:lpstr>Longrine</vt:lpstr>
      <vt:lpstr>Dallage</vt:lpstr>
      <vt:lpstr>Semelle isolée+attente poteau</vt:lpstr>
      <vt:lpstr>RESUME FER</vt:lpstr>
      <vt:lpstr>FACT</vt:lpstr>
      <vt:lpstr>POUTRE</vt:lpstr>
      <vt:lpstr>CHENEAU ACCROTERE</vt:lpstr>
      <vt:lpstr>ESCALIER</vt:lpstr>
      <vt:lpstr>Feuil1</vt:lpstr>
      <vt:lpstr>Extension bâtiment REEL</vt:lpstr>
      <vt:lpstr>Extension bâtiment MASERA</vt:lpstr>
      <vt:lpstr>Mtx Extension bâtiment</vt:lpstr>
      <vt:lpstr>Tamboho REEL </vt:lpstr>
      <vt:lpstr>Tamboho MASERA</vt:lpstr>
      <vt:lpstr>Mtx Tamboho</vt:lpstr>
      <vt:lpstr>PUISARD</vt:lpstr>
      <vt:lpstr>Tamboho ANTSIRABE</vt:lpstr>
      <vt:lpstr>Mtx Tamboho ANTSIRABE</vt:lpstr>
      <vt:lpstr>METRE ANTSIRABE</vt:lpstr>
      <vt:lpstr>SDP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EMR</cp:lastModifiedBy>
  <cp:lastPrinted>2017-02-06T10:01:59Z</cp:lastPrinted>
  <dcterms:created xsi:type="dcterms:W3CDTF">2016-09-04T13:04:04Z</dcterms:created>
  <dcterms:modified xsi:type="dcterms:W3CDTF">2017-02-06T10:44:52Z</dcterms:modified>
</cp:coreProperties>
</file>