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Lightning Bank Case Study/"/>
    </mc:Choice>
  </mc:AlternateContent>
  <xr:revisionPtr revIDLastSave="7509" documentId="13_ncr:1_{AE93A452-22DF-478B-8AAE-1A3A6016AB56}" xr6:coauthVersionLast="47" xr6:coauthVersionMax="47" xr10:uidLastSave="{A86509EC-A4C9-4360-910C-B6169607CF9A}"/>
  <bookViews>
    <workbookView xWindow="-98" yWindow="-98" windowWidth="28996" windowHeight="15675" xr2:uid="{10396A79-A4B2-467C-A467-ECE59C587EB2}"/>
  </bookViews>
  <sheets>
    <sheet name="Yield Estimate Calculator" sheetId="17" r:id="rId1"/>
    <sheet name="10 Year Burndown Summary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7" l="1"/>
  <c r="F120" i="17"/>
  <c r="G120" i="17"/>
  <c r="H120" i="17"/>
  <c r="I120" i="17"/>
  <c r="J120" i="17"/>
  <c r="K120" i="17"/>
  <c r="L120" i="17"/>
  <c r="M120" i="17"/>
  <c r="N120" i="17"/>
  <c r="E120" i="17"/>
  <c r="E10" i="17"/>
  <c r="D25" i="17"/>
  <c r="G32" i="17" s="1"/>
  <c r="D41" i="17"/>
  <c r="E43" i="17" s="1"/>
  <c r="E45" i="17" s="1"/>
  <c r="E47" i="17" s="1"/>
  <c r="D87" i="17"/>
  <c r="D86" i="17"/>
  <c r="E90" i="17" s="1"/>
  <c r="D42" i="17"/>
  <c r="D26" i="17"/>
  <c r="N22" i="17"/>
  <c r="M22" i="17"/>
  <c r="L22" i="17"/>
  <c r="K22" i="17"/>
  <c r="J22" i="17"/>
  <c r="I22" i="17"/>
  <c r="H22" i="17"/>
  <c r="G22" i="17"/>
  <c r="F22" i="17"/>
  <c r="E22" i="17"/>
  <c r="E23" i="17" s="1"/>
  <c r="E16" i="17"/>
  <c r="F16" i="17" s="1"/>
  <c r="K11" i="17"/>
  <c r="K10" i="17"/>
  <c r="K9" i="17"/>
  <c r="K8" i="17"/>
  <c r="K7" i="17"/>
  <c r="K6" i="17"/>
  <c r="K5" i="17"/>
  <c r="K4" i="17"/>
  <c r="I8" i="13"/>
  <c r="D36" i="13"/>
  <c r="E36" i="13" s="1"/>
  <c r="D30" i="13"/>
  <c r="D32" i="13" s="1"/>
  <c r="D24" i="13"/>
  <c r="E24" i="13" s="1"/>
  <c r="F24" i="13" s="1"/>
  <c r="G24" i="13" s="1"/>
  <c r="H24" i="13" s="1"/>
  <c r="I24" i="13" s="1"/>
  <c r="J24" i="13" s="1"/>
  <c r="K24" i="13" s="1"/>
  <c r="L24" i="13" s="1"/>
  <c r="M24" i="13" s="1"/>
  <c r="M26" i="13" s="1"/>
  <c r="D18" i="13"/>
  <c r="D20" i="13" s="1"/>
  <c r="D12" i="13"/>
  <c r="D14" i="13" s="1"/>
  <c r="E30" i="13"/>
  <c r="F30" i="13" s="1"/>
  <c r="G30" i="13" s="1"/>
  <c r="H30" i="13" s="1"/>
  <c r="I30" i="13" s="1"/>
  <c r="J30" i="13" s="1"/>
  <c r="K30" i="13" s="1"/>
  <c r="L30" i="13" s="1"/>
  <c r="M30" i="13" s="1"/>
  <c r="M32" i="13" s="1"/>
  <c r="F90" i="17" l="1"/>
  <c r="G57" i="17"/>
  <c r="F57" i="17"/>
  <c r="E115" i="17"/>
  <c r="F115" i="17"/>
  <c r="E57" i="17"/>
  <c r="J32" i="13"/>
  <c r="I32" i="17"/>
  <c r="M32" i="17"/>
  <c r="J32" i="17"/>
  <c r="E56" i="17"/>
  <c r="E60" i="17" s="1"/>
  <c r="I101" i="17"/>
  <c r="I164" i="17" s="1"/>
  <c r="N32" i="17"/>
  <c r="F32" i="17"/>
  <c r="F27" i="17" s="1"/>
  <c r="L32" i="17"/>
  <c r="H32" i="17"/>
  <c r="E32" i="17"/>
  <c r="E27" i="17" s="1"/>
  <c r="K32" i="17"/>
  <c r="E17" i="17"/>
  <c r="H56" i="17"/>
  <c r="H58" i="17" s="1"/>
  <c r="L56" i="17"/>
  <c r="L58" i="17" s="1"/>
  <c r="G56" i="17"/>
  <c r="G58" i="17" s="1"/>
  <c r="F56" i="17"/>
  <c r="F58" i="17" s="1"/>
  <c r="F62" i="17" s="1"/>
  <c r="J101" i="17"/>
  <c r="J164" i="17" s="1"/>
  <c r="N101" i="17"/>
  <c r="N164" i="17" s="1"/>
  <c r="G101" i="17"/>
  <c r="G164" i="17" s="1"/>
  <c r="E102" i="17"/>
  <c r="H101" i="17"/>
  <c r="H164" i="17" s="1"/>
  <c r="M101" i="17"/>
  <c r="M164" i="17" s="1"/>
  <c r="L101" i="17"/>
  <c r="L164" i="17" s="1"/>
  <c r="F17" i="17"/>
  <c r="N56" i="17"/>
  <c r="N58" i="17" s="1"/>
  <c r="F101" i="17"/>
  <c r="F164" i="17" s="1"/>
  <c r="G16" i="17"/>
  <c r="G115" i="17" s="1"/>
  <c r="K101" i="17"/>
  <c r="K164" i="17" s="1"/>
  <c r="K56" i="17"/>
  <c r="K58" i="17" s="1"/>
  <c r="F23" i="17"/>
  <c r="J56" i="17"/>
  <c r="J58" i="17" s="1"/>
  <c r="F18" i="17"/>
  <c r="E18" i="17"/>
  <c r="I56" i="17"/>
  <c r="M56" i="17"/>
  <c r="M58" i="17" s="1"/>
  <c r="E101" i="17"/>
  <c r="K32" i="13"/>
  <c r="I26" i="13"/>
  <c r="E18" i="13"/>
  <c r="F18" i="13" s="1"/>
  <c r="G18" i="13" s="1"/>
  <c r="J26" i="13"/>
  <c r="E26" i="13"/>
  <c r="I32" i="13"/>
  <c r="I33" i="13" s="1"/>
  <c r="F26" i="13"/>
  <c r="H32" i="13"/>
  <c r="H33" i="13" s="1"/>
  <c r="F36" i="13"/>
  <c r="E38" i="13"/>
  <c r="D38" i="13"/>
  <c r="G26" i="13"/>
  <c r="K26" i="13"/>
  <c r="E32" i="13"/>
  <c r="L32" i="13"/>
  <c r="G32" i="13"/>
  <c r="G33" i="13" s="1"/>
  <c r="D26" i="13"/>
  <c r="H26" i="13"/>
  <c r="L26" i="13"/>
  <c r="F32" i="13"/>
  <c r="D13" i="13"/>
  <c r="E12" i="13"/>
  <c r="E70" i="17" l="1"/>
  <c r="E176" i="17"/>
  <c r="E179" i="17"/>
  <c r="E173" i="17"/>
  <c r="E170" i="17"/>
  <c r="E164" i="17"/>
  <c r="E167" i="17"/>
  <c r="E161" i="17"/>
  <c r="E166" i="17"/>
  <c r="E169" i="17"/>
  <c r="F118" i="17"/>
  <c r="F121" i="17" s="1"/>
  <c r="F179" i="17"/>
  <c r="F170" i="17"/>
  <c r="F176" i="17"/>
  <c r="F173" i="17"/>
  <c r="G118" i="17"/>
  <c r="G121" i="17" s="1"/>
  <c r="G176" i="17"/>
  <c r="G179" i="17"/>
  <c r="G173" i="17"/>
  <c r="G170" i="17"/>
  <c r="H158" i="17"/>
  <c r="H161" i="17"/>
  <c r="E105" i="17"/>
  <c r="E158" i="17"/>
  <c r="K158" i="17"/>
  <c r="K161" i="17"/>
  <c r="L158" i="17"/>
  <c r="L161" i="17"/>
  <c r="G103" i="17"/>
  <c r="G107" i="17" s="1"/>
  <c r="G158" i="17"/>
  <c r="G161" i="17"/>
  <c r="J158" i="17"/>
  <c r="J161" i="17"/>
  <c r="I158" i="17"/>
  <c r="I161" i="17"/>
  <c r="I10" i="17"/>
  <c r="E160" i="17"/>
  <c r="E163" i="17"/>
  <c r="I58" i="17"/>
  <c r="I6" i="17"/>
  <c r="F105" i="17"/>
  <c r="F158" i="17"/>
  <c r="F161" i="17"/>
  <c r="M103" i="17"/>
  <c r="M158" i="17"/>
  <c r="M161" i="17"/>
  <c r="N158" i="17"/>
  <c r="N161" i="17"/>
  <c r="E118" i="17"/>
  <c r="E121" i="17" s="1"/>
  <c r="E122" i="17" s="1"/>
  <c r="E58" i="17"/>
  <c r="E62" i="17" s="1"/>
  <c r="E64" i="17" s="1"/>
  <c r="F64" i="17" s="1"/>
  <c r="F60" i="17"/>
  <c r="G27" i="17"/>
  <c r="G60" i="17"/>
  <c r="G105" i="17"/>
  <c r="E20" i="13"/>
  <c r="J167" i="17"/>
  <c r="I167" i="17"/>
  <c r="I103" i="17"/>
  <c r="E104" i="17"/>
  <c r="E114" i="17" s="1"/>
  <c r="E112" i="17" s="1"/>
  <c r="E110" i="17"/>
  <c r="J103" i="17"/>
  <c r="N167" i="17"/>
  <c r="G167" i="17"/>
  <c r="H167" i="17"/>
  <c r="H103" i="17"/>
  <c r="N103" i="17"/>
  <c r="M167" i="17"/>
  <c r="E103" i="17"/>
  <c r="E107" i="17" s="1"/>
  <c r="E20" i="17"/>
  <c r="E19" i="17"/>
  <c r="F102" i="17"/>
  <c r="G23" i="17"/>
  <c r="G17" i="17"/>
  <c r="H16" i="17"/>
  <c r="H115" i="17" s="1"/>
  <c r="G18" i="17"/>
  <c r="E65" i="17"/>
  <c r="E59" i="17"/>
  <c r="E69" i="17" s="1"/>
  <c r="E67" i="17" s="1"/>
  <c r="F167" i="17"/>
  <c r="F103" i="17"/>
  <c r="F107" i="17" s="1"/>
  <c r="G62" i="17"/>
  <c r="F19" i="17"/>
  <c r="F20" i="17"/>
  <c r="F117" i="17" s="1"/>
  <c r="K167" i="17"/>
  <c r="K103" i="17"/>
  <c r="L167" i="17"/>
  <c r="L103" i="17"/>
  <c r="F20" i="13"/>
  <c r="H18" i="13"/>
  <c r="G20" i="13"/>
  <c r="G36" i="13"/>
  <c r="F38" i="13"/>
  <c r="F39" i="13" s="1"/>
  <c r="F12" i="13"/>
  <c r="E14" i="13"/>
  <c r="F122" i="17" l="1"/>
  <c r="G122" i="17" s="1"/>
  <c r="F175" i="17"/>
  <c r="F172" i="17"/>
  <c r="F178" i="17"/>
  <c r="F181" i="17"/>
  <c r="H118" i="17"/>
  <c r="H121" i="17" s="1"/>
  <c r="H122" i="17" s="1"/>
  <c r="H170" i="17"/>
  <c r="H176" i="17"/>
  <c r="H173" i="17"/>
  <c r="H179" i="17"/>
  <c r="N159" i="17"/>
  <c r="F160" i="17"/>
  <c r="F163" i="17"/>
  <c r="I162" i="17"/>
  <c r="I159" i="17"/>
  <c r="N162" i="17"/>
  <c r="F119" i="17"/>
  <c r="F127" i="17" s="1"/>
  <c r="E117" i="17"/>
  <c r="E72" i="17" s="1"/>
  <c r="E74" i="17" s="1"/>
  <c r="E84" i="17" s="1"/>
  <c r="E82" i="17" s="1"/>
  <c r="H27" i="17"/>
  <c r="H60" i="17"/>
  <c r="H105" i="17"/>
  <c r="F29" i="17"/>
  <c r="F31" i="17" s="1"/>
  <c r="F39" i="17" s="1"/>
  <c r="F43" i="17"/>
  <c r="E35" i="17"/>
  <c r="G64" i="17"/>
  <c r="E88" i="17"/>
  <c r="F130" i="17"/>
  <c r="F132" i="17" s="1"/>
  <c r="F142" i="17" s="1"/>
  <c r="F92" i="17"/>
  <c r="G19" i="17"/>
  <c r="G90" i="17"/>
  <c r="G20" i="17"/>
  <c r="G117" i="17" s="1"/>
  <c r="H23" i="17"/>
  <c r="G102" i="17"/>
  <c r="E55" i="17"/>
  <c r="E53" i="17" s="1"/>
  <c r="E51" i="17"/>
  <c r="I165" i="17"/>
  <c r="N165" i="17"/>
  <c r="F88" i="17"/>
  <c r="F128" i="17" s="1"/>
  <c r="I16" i="17"/>
  <c r="I115" i="17" s="1"/>
  <c r="H18" i="17"/>
  <c r="H17" i="17"/>
  <c r="H107" i="17"/>
  <c r="H62" i="17"/>
  <c r="F65" i="17"/>
  <c r="F59" i="17"/>
  <c r="F69" i="17" s="1"/>
  <c r="F67" i="17" s="1"/>
  <c r="E96" i="17"/>
  <c r="E92" i="17"/>
  <c r="E130" i="17"/>
  <c r="E132" i="17" s="1"/>
  <c r="E142" i="17" s="1"/>
  <c r="E140" i="17" s="1"/>
  <c r="F110" i="17"/>
  <c r="F166" i="17"/>
  <c r="F104" i="17"/>
  <c r="F114" i="17" s="1"/>
  <c r="F112" i="17" s="1"/>
  <c r="F169" i="17"/>
  <c r="E109" i="17"/>
  <c r="F109" i="17" s="1"/>
  <c r="G109" i="17" s="1"/>
  <c r="N168" i="17"/>
  <c r="I168" i="17"/>
  <c r="I18" i="13"/>
  <c r="H20" i="13"/>
  <c r="H36" i="13"/>
  <c r="G38" i="13"/>
  <c r="G39" i="13" s="1"/>
  <c r="G12" i="13"/>
  <c r="F14" i="13"/>
  <c r="F45" i="17" l="1"/>
  <c r="F70" i="17"/>
  <c r="I179" i="17"/>
  <c r="I180" i="17" s="1"/>
  <c r="I173" i="17"/>
  <c r="I174" i="17" s="1"/>
  <c r="I170" i="17"/>
  <c r="I176" i="17"/>
  <c r="I177" i="17" s="1"/>
  <c r="G172" i="17"/>
  <c r="G181" i="17"/>
  <c r="G178" i="17"/>
  <c r="G175" i="17"/>
  <c r="E123" i="17"/>
  <c r="E80" i="17" s="1"/>
  <c r="E181" i="17"/>
  <c r="E175" i="17"/>
  <c r="E172" i="17"/>
  <c r="E178" i="17"/>
  <c r="E151" i="17"/>
  <c r="E154" i="17"/>
  <c r="E157" i="17"/>
  <c r="E148" i="17"/>
  <c r="F148" i="17"/>
  <c r="F184" i="17" s="1"/>
  <c r="F151" i="17"/>
  <c r="F187" i="17" s="1"/>
  <c r="F154" i="17"/>
  <c r="F190" i="17" s="1"/>
  <c r="F157" i="17"/>
  <c r="F193" i="17" s="1"/>
  <c r="G160" i="17"/>
  <c r="G163" i="17"/>
  <c r="E93" i="17"/>
  <c r="E133" i="17" s="1"/>
  <c r="E128" i="17"/>
  <c r="G119" i="17"/>
  <c r="G127" i="17" s="1"/>
  <c r="G125" i="17" s="1"/>
  <c r="I118" i="17"/>
  <c r="I121" i="17" s="1"/>
  <c r="I122" i="17" s="1"/>
  <c r="E119" i="17"/>
  <c r="E127" i="17" s="1"/>
  <c r="E125" i="17" s="1"/>
  <c r="I116" i="17"/>
  <c r="I27" i="17"/>
  <c r="I60" i="17"/>
  <c r="I61" i="17" s="1"/>
  <c r="I105" i="17"/>
  <c r="H64" i="17"/>
  <c r="G29" i="17"/>
  <c r="G43" i="17"/>
  <c r="E31" i="17"/>
  <c r="E39" i="17" s="1"/>
  <c r="E37" i="17" s="1"/>
  <c r="E48" i="17"/>
  <c r="E75" i="17" s="1"/>
  <c r="F140" i="17"/>
  <c r="G65" i="17"/>
  <c r="G59" i="17"/>
  <c r="G69" i="17" s="1"/>
  <c r="G67" i="17" s="1"/>
  <c r="F51" i="17"/>
  <c r="I18" i="17"/>
  <c r="J16" i="17"/>
  <c r="J115" i="17" s="1"/>
  <c r="I17" i="17"/>
  <c r="I107" i="17"/>
  <c r="I108" i="17" s="1"/>
  <c r="I62" i="17"/>
  <c r="F30" i="17"/>
  <c r="F33" i="17" s="1"/>
  <c r="G166" i="17"/>
  <c r="G169" i="17"/>
  <c r="G104" i="17"/>
  <c r="G114" i="17" s="1"/>
  <c r="G112" i="17" s="1"/>
  <c r="G110" i="17"/>
  <c r="G31" i="17"/>
  <c r="G39" i="17" s="1"/>
  <c r="G37" i="17" s="1"/>
  <c r="E30" i="17"/>
  <c r="E100" i="17"/>
  <c r="E98" i="17" s="1"/>
  <c r="F46" i="17"/>
  <c r="F49" i="17" s="1"/>
  <c r="F73" i="17"/>
  <c r="F77" i="17" s="1"/>
  <c r="F48" i="17"/>
  <c r="F75" i="17" s="1"/>
  <c r="H57" i="17"/>
  <c r="H102" i="17"/>
  <c r="I23" i="17"/>
  <c r="G88" i="17"/>
  <c r="G128" i="17" s="1"/>
  <c r="F100" i="17"/>
  <c r="E46" i="17"/>
  <c r="E49" i="17" s="1"/>
  <c r="E50" i="17" s="1"/>
  <c r="H109" i="17"/>
  <c r="F35" i="17"/>
  <c r="H90" i="17"/>
  <c r="H20" i="17"/>
  <c r="H117" i="17" s="1"/>
  <c r="H19" i="17"/>
  <c r="F131" i="17"/>
  <c r="F135" i="17" s="1"/>
  <c r="F91" i="17"/>
  <c r="F93" i="17"/>
  <c r="F133" i="17" s="1"/>
  <c r="G130" i="17"/>
  <c r="G132" i="17" s="1"/>
  <c r="G142" i="17" s="1"/>
  <c r="G140" i="17" s="1"/>
  <c r="G92" i="17"/>
  <c r="F96" i="17"/>
  <c r="E91" i="17"/>
  <c r="J18" i="13"/>
  <c r="I20" i="13"/>
  <c r="I36" i="13"/>
  <c r="H38" i="13"/>
  <c r="H39" i="13" s="1"/>
  <c r="H12" i="13"/>
  <c r="G14" i="13"/>
  <c r="D31" i="13"/>
  <c r="E37" i="13"/>
  <c r="D37" i="13"/>
  <c r="E25" i="13"/>
  <c r="D25" i="13"/>
  <c r="E19" i="13"/>
  <c r="D19" i="13"/>
  <c r="D16" i="13"/>
  <c r="G45" i="17" l="1"/>
  <c r="G70" i="17"/>
  <c r="F72" i="17"/>
  <c r="F74" i="17" s="1"/>
  <c r="F84" i="17" s="1"/>
  <c r="F82" i="17" s="1"/>
  <c r="F47" i="17"/>
  <c r="F55" i="17" s="1"/>
  <c r="F53" i="17" s="1"/>
  <c r="E184" i="17"/>
  <c r="E187" i="17"/>
  <c r="I7" i="17"/>
  <c r="I11" i="17"/>
  <c r="E138" i="17"/>
  <c r="J118" i="17"/>
  <c r="J121" i="17" s="1"/>
  <c r="J122" i="17" s="1"/>
  <c r="J179" i="17"/>
  <c r="J170" i="17"/>
  <c r="J176" i="17"/>
  <c r="J173" i="17"/>
  <c r="E193" i="17"/>
  <c r="I171" i="17"/>
  <c r="H181" i="17"/>
  <c r="H175" i="17"/>
  <c r="H172" i="17"/>
  <c r="H178" i="17"/>
  <c r="E190" i="17"/>
  <c r="H160" i="17"/>
  <c r="H163" i="17"/>
  <c r="F146" i="17"/>
  <c r="F182" i="17" s="1"/>
  <c r="F149" i="17"/>
  <c r="F185" i="17" s="1"/>
  <c r="F152" i="17"/>
  <c r="F188" i="17" s="1"/>
  <c r="F155" i="17"/>
  <c r="F191" i="17" s="1"/>
  <c r="E149" i="17"/>
  <c r="E185" i="17" s="1"/>
  <c r="E146" i="17"/>
  <c r="E182" i="17" s="1"/>
  <c r="E152" i="17"/>
  <c r="E188" i="17" s="1"/>
  <c r="E155" i="17"/>
  <c r="E191" i="17" s="1"/>
  <c r="G157" i="17"/>
  <c r="G193" i="17" s="1"/>
  <c r="G148" i="17"/>
  <c r="G184" i="17" s="1"/>
  <c r="G151" i="17"/>
  <c r="G187" i="17" s="1"/>
  <c r="G154" i="17"/>
  <c r="G190" i="17" s="1"/>
  <c r="F125" i="17"/>
  <c r="H119" i="17"/>
  <c r="H127" i="17" s="1"/>
  <c r="H125" i="17" s="1"/>
  <c r="F123" i="17"/>
  <c r="J27" i="17"/>
  <c r="J60" i="17"/>
  <c r="J105" i="17"/>
  <c r="I64" i="17"/>
  <c r="H29" i="17"/>
  <c r="H43" i="17"/>
  <c r="F37" i="17"/>
  <c r="E33" i="17"/>
  <c r="E34" i="17" s="1"/>
  <c r="F34" i="17" s="1"/>
  <c r="F50" i="17"/>
  <c r="I109" i="17"/>
  <c r="G96" i="17"/>
  <c r="I63" i="17"/>
  <c r="G100" i="17"/>
  <c r="G98" i="17" s="1"/>
  <c r="G48" i="17"/>
  <c r="G75" i="17" s="1"/>
  <c r="G46" i="17"/>
  <c r="G49" i="17" s="1"/>
  <c r="G73" i="17"/>
  <c r="G77" i="17" s="1"/>
  <c r="I106" i="17"/>
  <c r="H31" i="17"/>
  <c r="H39" i="17" s="1"/>
  <c r="H37" i="17" s="1"/>
  <c r="H130" i="17"/>
  <c r="H132" i="17" s="1"/>
  <c r="H142" i="17" s="1"/>
  <c r="H140" i="17" s="1"/>
  <c r="H92" i="17"/>
  <c r="G93" i="17"/>
  <c r="G133" i="17" s="1"/>
  <c r="G91" i="17"/>
  <c r="G131" i="17"/>
  <c r="G135" i="17" s="1"/>
  <c r="H166" i="17"/>
  <c r="H110" i="17"/>
  <c r="H169" i="17"/>
  <c r="H104" i="17"/>
  <c r="H114" i="17" s="1"/>
  <c r="H112" i="17" s="1"/>
  <c r="E94" i="17"/>
  <c r="E95" i="17" s="1"/>
  <c r="E73" i="17"/>
  <c r="E77" i="17" s="1"/>
  <c r="G30" i="17"/>
  <c r="G33" i="17" s="1"/>
  <c r="H59" i="17"/>
  <c r="H69" i="17" s="1"/>
  <c r="H67" i="17" s="1"/>
  <c r="H65" i="17"/>
  <c r="J17" i="17"/>
  <c r="J18" i="17"/>
  <c r="K16" i="17"/>
  <c r="K115" i="17" s="1"/>
  <c r="J107" i="17"/>
  <c r="J62" i="17"/>
  <c r="E131" i="17"/>
  <c r="E135" i="17" s="1"/>
  <c r="F94" i="17"/>
  <c r="H88" i="17"/>
  <c r="H128" i="17" s="1"/>
  <c r="F98" i="17"/>
  <c r="I102" i="17"/>
  <c r="I57" i="17"/>
  <c r="J23" i="17"/>
  <c r="G35" i="17"/>
  <c r="I90" i="17"/>
  <c r="I20" i="17"/>
  <c r="I117" i="17" s="1"/>
  <c r="I19" i="17"/>
  <c r="K18" i="13"/>
  <c r="J20" i="13"/>
  <c r="J36" i="13"/>
  <c r="I38" i="13"/>
  <c r="I39" i="13" s="1"/>
  <c r="I12" i="13"/>
  <c r="H14" i="13"/>
  <c r="D15" i="13"/>
  <c r="E39" i="13"/>
  <c r="E40" i="13"/>
  <c r="F37" i="13"/>
  <c r="D40" i="13"/>
  <c r="D39" i="13"/>
  <c r="E31" i="13"/>
  <c r="D33" i="13"/>
  <c r="D34" i="13"/>
  <c r="D28" i="13"/>
  <c r="D27" i="13"/>
  <c r="E27" i="13"/>
  <c r="E28" i="13"/>
  <c r="F25" i="13"/>
  <c r="D22" i="13"/>
  <c r="D21" i="13"/>
  <c r="F19" i="13"/>
  <c r="E21" i="13"/>
  <c r="E22" i="13"/>
  <c r="E13" i="13"/>
  <c r="H45" i="17" l="1"/>
  <c r="H70" i="17"/>
  <c r="G47" i="17"/>
  <c r="G55" i="17" s="1"/>
  <c r="G53" i="17" s="1"/>
  <c r="G72" i="17"/>
  <c r="G74" i="17" s="1"/>
  <c r="G84" i="17" s="1"/>
  <c r="G82" i="17" s="1"/>
  <c r="G51" i="17"/>
  <c r="H51" i="17" s="1"/>
  <c r="G123" i="17"/>
  <c r="F80" i="17"/>
  <c r="I181" i="17"/>
  <c r="I178" i="17"/>
  <c r="I175" i="17"/>
  <c r="I172" i="17"/>
  <c r="K118" i="17"/>
  <c r="K121" i="17" s="1"/>
  <c r="K122" i="17" s="1"/>
  <c r="K176" i="17"/>
  <c r="K179" i="17"/>
  <c r="K173" i="17"/>
  <c r="K170" i="17"/>
  <c r="F138" i="17"/>
  <c r="H157" i="17"/>
  <c r="H193" i="17" s="1"/>
  <c r="H154" i="17"/>
  <c r="H190" i="17" s="1"/>
  <c r="H148" i="17"/>
  <c r="H184" i="17" s="1"/>
  <c r="H151" i="17"/>
  <c r="H187" i="17" s="1"/>
  <c r="G138" i="17"/>
  <c r="I160" i="17"/>
  <c r="I163" i="17"/>
  <c r="G149" i="17"/>
  <c r="G185" i="17" s="1"/>
  <c r="G152" i="17"/>
  <c r="G188" i="17" s="1"/>
  <c r="G155" i="17"/>
  <c r="G191" i="17" s="1"/>
  <c r="G146" i="17"/>
  <c r="G182" i="17" s="1"/>
  <c r="I119" i="17"/>
  <c r="I127" i="17" s="1"/>
  <c r="I125" i="17" s="1"/>
  <c r="K27" i="17"/>
  <c r="K60" i="17"/>
  <c r="K105" i="17"/>
  <c r="I166" i="17"/>
  <c r="I169" i="17"/>
  <c r="I29" i="17"/>
  <c r="I31" i="17" s="1"/>
  <c r="I39" i="17" s="1"/>
  <c r="I37" i="17" s="1"/>
  <c r="I43" i="17"/>
  <c r="J109" i="17"/>
  <c r="H96" i="17"/>
  <c r="G34" i="17"/>
  <c r="G50" i="17"/>
  <c r="F95" i="17"/>
  <c r="I65" i="17"/>
  <c r="I59" i="17"/>
  <c r="I69" i="17" s="1"/>
  <c r="I67" i="17" s="1"/>
  <c r="K17" i="17"/>
  <c r="K18" i="17"/>
  <c r="L16" i="17"/>
  <c r="L115" i="17" s="1"/>
  <c r="K62" i="17"/>
  <c r="K107" i="17"/>
  <c r="J90" i="17"/>
  <c r="J19" i="17"/>
  <c r="J20" i="17"/>
  <c r="J117" i="17" s="1"/>
  <c r="H100" i="17"/>
  <c r="H98" i="17" s="1"/>
  <c r="I92" i="17"/>
  <c r="I130" i="17"/>
  <c r="I132" i="17" s="1"/>
  <c r="I142" i="17" s="1"/>
  <c r="I140" i="17" s="1"/>
  <c r="I104" i="17"/>
  <c r="I114" i="17" s="1"/>
  <c r="I112" i="17" s="1"/>
  <c r="I110" i="17"/>
  <c r="I111" i="17" s="1"/>
  <c r="H30" i="17"/>
  <c r="H33" i="17" s="1"/>
  <c r="J64" i="17"/>
  <c r="K23" i="17"/>
  <c r="J102" i="17"/>
  <c r="J57" i="17"/>
  <c r="H46" i="17"/>
  <c r="H49" i="17" s="1"/>
  <c r="H48" i="17"/>
  <c r="H75" i="17" s="1"/>
  <c r="G94" i="17"/>
  <c r="I88" i="17"/>
  <c r="I28" i="17"/>
  <c r="I21" i="17"/>
  <c r="H91" i="17"/>
  <c r="H93" i="17"/>
  <c r="H133" i="17" s="1"/>
  <c r="E137" i="17"/>
  <c r="F137" i="17" s="1"/>
  <c r="G137" i="17" s="1"/>
  <c r="E79" i="17"/>
  <c r="F79" i="17" s="1"/>
  <c r="G79" i="17" s="1"/>
  <c r="H35" i="17"/>
  <c r="L18" i="13"/>
  <c r="K20" i="13"/>
  <c r="K36" i="13"/>
  <c r="J38" i="13"/>
  <c r="J12" i="13"/>
  <c r="I14" i="13"/>
  <c r="F40" i="13"/>
  <c r="G37" i="13"/>
  <c r="E33" i="13"/>
  <c r="E34" i="13"/>
  <c r="F31" i="13"/>
  <c r="F28" i="13"/>
  <c r="F27" i="13"/>
  <c r="G25" i="13"/>
  <c r="F21" i="13"/>
  <c r="F22" i="13"/>
  <c r="G19" i="13"/>
  <c r="E15" i="13"/>
  <c r="E16" i="13"/>
  <c r="F13" i="13"/>
  <c r="H72" i="17" l="1"/>
  <c r="H74" i="17" s="1"/>
  <c r="H84" i="17" s="1"/>
  <c r="H82" i="17" s="1"/>
  <c r="H47" i="17"/>
  <c r="H55" i="17" s="1"/>
  <c r="H53" i="17" s="1"/>
  <c r="I45" i="17"/>
  <c r="I70" i="17"/>
  <c r="H123" i="17"/>
  <c r="G80" i="17"/>
  <c r="J175" i="17"/>
  <c r="J172" i="17"/>
  <c r="J178" i="17"/>
  <c r="J181" i="17"/>
  <c r="L118" i="17"/>
  <c r="L121" i="17" s="1"/>
  <c r="L122" i="17" s="1"/>
  <c r="L170" i="17"/>
  <c r="L176" i="17"/>
  <c r="L173" i="17"/>
  <c r="L179" i="17"/>
  <c r="I89" i="17"/>
  <c r="I9" i="17" s="1"/>
  <c r="I128" i="17"/>
  <c r="I131" i="17" s="1"/>
  <c r="I135" i="17" s="1"/>
  <c r="I148" i="17"/>
  <c r="I184" i="17" s="1"/>
  <c r="M5" i="17" s="1"/>
  <c r="N5" i="17" s="1"/>
  <c r="I151" i="17"/>
  <c r="I154" i="17"/>
  <c r="I157" i="17"/>
  <c r="I193" i="17" s="1"/>
  <c r="M11" i="17" s="1"/>
  <c r="N11" i="17" s="1"/>
  <c r="H149" i="17"/>
  <c r="H185" i="17" s="1"/>
  <c r="H152" i="17"/>
  <c r="H188" i="17" s="1"/>
  <c r="H155" i="17"/>
  <c r="H191" i="17" s="1"/>
  <c r="H146" i="17"/>
  <c r="H182" i="17" s="1"/>
  <c r="J163" i="17"/>
  <c r="J160" i="17"/>
  <c r="J119" i="17"/>
  <c r="J127" i="17" s="1"/>
  <c r="J125" i="17" s="1"/>
  <c r="I126" i="17"/>
  <c r="L27" i="17"/>
  <c r="L60" i="17"/>
  <c r="L105" i="17"/>
  <c r="J166" i="17"/>
  <c r="J169" i="17"/>
  <c r="J29" i="17"/>
  <c r="J31" i="17" s="1"/>
  <c r="J39" i="17" s="1"/>
  <c r="J37" i="17" s="1"/>
  <c r="J43" i="17"/>
  <c r="K109" i="17"/>
  <c r="I96" i="17"/>
  <c r="H34" i="17"/>
  <c r="K64" i="17"/>
  <c r="H50" i="17"/>
  <c r="G95" i="17"/>
  <c r="H131" i="17"/>
  <c r="H135" i="17" s="1"/>
  <c r="H137" i="17" s="1"/>
  <c r="I73" i="17"/>
  <c r="I77" i="17" s="1"/>
  <c r="I46" i="17"/>
  <c r="I49" i="17" s="1"/>
  <c r="I48" i="17"/>
  <c r="H73" i="17"/>
  <c r="H77" i="17" s="1"/>
  <c r="K57" i="17"/>
  <c r="K102" i="17"/>
  <c r="L23" i="17"/>
  <c r="K19" i="17"/>
  <c r="K90" i="17"/>
  <c r="K20" i="17"/>
  <c r="K117" i="17" s="1"/>
  <c r="I66" i="17"/>
  <c r="I91" i="17"/>
  <c r="I93" i="17"/>
  <c r="I44" i="17"/>
  <c r="I5" i="17" s="1"/>
  <c r="J59" i="17"/>
  <c r="J69" i="17" s="1"/>
  <c r="J67" i="17" s="1"/>
  <c r="J65" i="17"/>
  <c r="I38" i="17"/>
  <c r="I100" i="17"/>
  <c r="I98" i="17" s="1"/>
  <c r="I99" i="17" s="1"/>
  <c r="J92" i="17"/>
  <c r="J130" i="17"/>
  <c r="J132" i="17" s="1"/>
  <c r="J142" i="17" s="1"/>
  <c r="J140" i="17" s="1"/>
  <c r="M16" i="17"/>
  <c r="M115" i="17" s="1"/>
  <c r="L18" i="17"/>
  <c r="L17" i="17"/>
  <c r="L62" i="17"/>
  <c r="L107" i="17"/>
  <c r="I35" i="17"/>
  <c r="I141" i="17"/>
  <c r="I113" i="17"/>
  <c r="H94" i="17"/>
  <c r="I30" i="17"/>
  <c r="I33" i="17" s="1"/>
  <c r="J110" i="17"/>
  <c r="J104" i="17"/>
  <c r="J114" i="17" s="1"/>
  <c r="J112" i="17" s="1"/>
  <c r="J88" i="17"/>
  <c r="J128" i="17" s="1"/>
  <c r="I68" i="17"/>
  <c r="M18" i="13"/>
  <c r="M20" i="13" s="1"/>
  <c r="L20" i="13"/>
  <c r="L36" i="13"/>
  <c r="K38" i="13"/>
  <c r="K12" i="13"/>
  <c r="J14" i="13"/>
  <c r="G40" i="13"/>
  <c r="H37" i="13"/>
  <c r="F34" i="13"/>
  <c r="F33" i="13"/>
  <c r="G31" i="13"/>
  <c r="G28" i="13"/>
  <c r="G27" i="13"/>
  <c r="H25" i="13"/>
  <c r="G22" i="13"/>
  <c r="G21" i="13"/>
  <c r="H19" i="13"/>
  <c r="G13" i="13"/>
  <c r="F16" i="13"/>
  <c r="F15" i="13"/>
  <c r="I75" i="17" l="1"/>
  <c r="I76" i="17" s="1"/>
  <c r="J45" i="17"/>
  <c r="J70" i="17"/>
  <c r="I72" i="17"/>
  <c r="I74" i="17" s="1"/>
  <c r="I84" i="17" s="1"/>
  <c r="I82" i="17" s="1"/>
  <c r="I83" i="17" s="1"/>
  <c r="I47" i="17"/>
  <c r="I55" i="17" s="1"/>
  <c r="I53" i="17" s="1"/>
  <c r="I54" i="17" s="1"/>
  <c r="I51" i="17"/>
  <c r="I52" i="17" s="1"/>
  <c r="H80" i="17"/>
  <c r="I123" i="17"/>
  <c r="I138" i="17" s="1"/>
  <c r="H138" i="17"/>
  <c r="M118" i="17"/>
  <c r="M121" i="17" s="1"/>
  <c r="M122" i="17" s="1"/>
  <c r="M179" i="17"/>
  <c r="M173" i="17"/>
  <c r="M170" i="17"/>
  <c r="M176" i="17"/>
  <c r="K172" i="17"/>
  <c r="K181" i="17"/>
  <c r="K178" i="17"/>
  <c r="K175" i="17"/>
  <c r="I190" i="17"/>
  <c r="M9" i="17" s="1"/>
  <c r="N9" i="17" s="1"/>
  <c r="I187" i="17"/>
  <c r="M7" i="17" s="1"/>
  <c r="N7" i="17" s="1"/>
  <c r="J148" i="17"/>
  <c r="J184" i="17" s="1"/>
  <c r="J151" i="17"/>
  <c r="J187" i="17" s="1"/>
  <c r="J154" i="17"/>
  <c r="J190" i="17" s="1"/>
  <c r="J157" i="17"/>
  <c r="J193" i="17" s="1"/>
  <c r="I133" i="17"/>
  <c r="I134" i="17" s="1"/>
  <c r="K160" i="17"/>
  <c r="K163" i="17"/>
  <c r="I149" i="17"/>
  <c r="I185" i="17" s="1"/>
  <c r="I186" i="17" s="1"/>
  <c r="I152" i="17"/>
  <c r="I155" i="17"/>
  <c r="I191" i="17" s="1"/>
  <c r="I192" i="17" s="1"/>
  <c r="I146" i="17"/>
  <c r="I182" i="17" s="1"/>
  <c r="I150" i="17"/>
  <c r="I97" i="17"/>
  <c r="K119" i="17"/>
  <c r="K127" i="17" s="1"/>
  <c r="K125" i="17" s="1"/>
  <c r="M27" i="17"/>
  <c r="M60" i="17"/>
  <c r="M105" i="17"/>
  <c r="I50" i="17"/>
  <c r="L64" i="17"/>
  <c r="J96" i="17"/>
  <c r="K29" i="17"/>
  <c r="K31" i="17" s="1"/>
  <c r="K39" i="17" s="1"/>
  <c r="K37" i="17" s="1"/>
  <c r="K43" i="17"/>
  <c r="L109" i="17"/>
  <c r="I34" i="17"/>
  <c r="H95" i="17"/>
  <c r="J35" i="17"/>
  <c r="I71" i="17"/>
  <c r="I8" i="17" s="1"/>
  <c r="J93" i="17"/>
  <c r="J133" i="17" s="1"/>
  <c r="J91" i="17"/>
  <c r="J131" i="17"/>
  <c r="J135" i="17" s="1"/>
  <c r="L90" i="17"/>
  <c r="L20" i="17"/>
  <c r="L117" i="17" s="1"/>
  <c r="L19" i="17"/>
  <c r="M18" i="17"/>
  <c r="N16" i="17"/>
  <c r="N115" i="17" s="1"/>
  <c r="M17" i="17"/>
  <c r="M107" i="17"/>
  <c r="M62" i="17"/>
  <c r="I137" i="17"/>
  <c r="K92" i="17"/>
  <c r="K130" i="17"/>
  <c r="K132" i="17" s="1"/>
  <c r="K142" i="17" s="1"/>
  <c r="K140" i="17" s="1"/>
  <c r="L57" i="17"/>
  <c r="M23" i="17"/>
  <c r="L102" i="17"/>
  <c r="I136" i="17"/>
  <c r="J30" i="17"/>
  <c r="J33" i="17" s="1"/>
  <c r="K166" i="17"/>
  <c r="K110" i="17"/>
  <c r="K169" i="17"/>
  <c r="K104" i="17"/>
  <c r="K114" i="17" s="1"/>
  <c r="K112" i="17" s="1"/>
  <c r="I78" i="17"/>
  <c r="J48" i="17"/>
  <c r="J75" i="17" s="1"/>
  <c r="J46" i="17"/>
  <c r="J49" i="17" s="1"/>
  <c r="H79" i="17"/>
  <c r="I79" i="17" s="1"/>
  <c r="J100" i="17"/>
  <c r="J98" i="17" s="1"/>
  <c r="I94" i="17"/>
  <c r="K88" i="17"/>
  <c r="K128" i="17" s="1"/>
  <c r="K65" i="17"/>
  <c r="K59" i="17"/>
  <c r="K69" i="17" s="1"/>
  <c r="K67" i="17" s="1"/>
  <c r="I129" i="17"/>
  <c r="I12" i="17" s="1"/>
  <c r="I36" i="17"/>
  <c r="I4" i="17" s="1"/>
  <c r="M36" i="13"/>
  <c r="M38" i="13" s="1"/>
  <c r="L38" i="13"/>
  <c r="L12" i="13"/>
  <c r="K14" i="13"/>
  <c r="H40" i="13"/>
  <c r="H41" i="13" s="1"/>
  <c r="I37" i="13"/>
  <c r="G34" i="13"/>
  <c r="H31" i="13"/>
  <c r="H28" i="13"/>
  <c r="H29" i="13" s="1"/>
  <c r="H27" i="13"/>
  <c r="I25" i="13"/>
  <c r="H22" i="13"/>
  <c r="H23" i="13" s="1"/>
  <c r="H21" i="13"/>
  <c r="I19" i="13"/>
  <c r="G16" i="13"/>
  <c r="G15" i="13"/>
  <c r="H13" i="13"/>
  <c r="J50" i="17" l="1"/>
  <c r="K45" i="17"/>
  <c r="K70" i="17"/>
  <c r="K73" i="17" s="1"/>
  <c r="K77" i="17" s="1"/>
  <c r="J72" i="17"/>
  <c r="J74" i="17" s="1"/>
  <c r="J84" i="17" s="1"/>
  <c r="J82" i="17" s="1"/>
  <c r="J51" i="17"/>
  <c r="J47" i="17"/>
  <c r="J55" i="17" s="1"/>
  <c r="J53" i="17" s="1"/>
  <c r="I139" i="17"/>
  <c r="I124" i="17"/>
  <c r="I80" i="17"/>
  <c r="I81" i="17" s="1"/>
  <c r="J123" i="17"/>
  <c r="L181" i="17"/>
  <c r="L175" i="17"/>
  <c r="L172" i="17"/>
  <c r="L178" i="17"/>
  <c r="I153" i="17"/>
  <c r="I188" i="17"/>
  <c r="N179" i="17"/>
  <c r="N180" i="17" s="1"/>
  <c r="N170" i="17"/>
  <c r="N171" i="17" s="1"/>
  <c r="N176" i="17"/>
  <c r="N177" i="17" s="1"/>
  <c r="N173" i="17"/>
  <c r="N174" i="17" s="1"/>
  <c r="I156" i="17"/>
  <c r="K96" i="17"/>
  <c r="J146" i="17"/>
  <c r="J182" i="17" s="1"/>
  <c r="J149" i="17"/>
  <c r="J185" i="17" s="1"/>
  <c r="J152" i="17"/>
  <c r="J188" i="17" s="1"/>
  <c r="J155" i="17"/>
  <c r="J191" i="17" s="1"/>
  <c r="L160" i="17"/>
  <c r="L163" i="17"/>
  <c r="K157" i="17"/>
  <c r="K193" i="17" s="1"/>
  <c r="K148" i="17"/>
  <c r="K184" i="17" s="1"/>
  <c r="K151" i="17"/>
  <c r="K187" i="17" s="1"/>
  <c r="K154" i="17"/>
  <c r="K190" i="17" s="1"/>
  <c r="L119" i="17"/>
  <c r="L127" i="17" s="1"/>
  <c r="L125" i="17" s="1"/>
  <c r="N118" i="17"/>
  <c r="N121" i="17" s="1"/>
  <c r="N122" i="17" s="1"/>
  <c r="N116" i="17"/>
  <c r="N27" i="17"/>
  <c r="N60" i="17"/>
  <c r="N105" i="17"/>
  <c r="N106" i="17" s="1"/>
  <c r="M64" i="17"/>
  <c r="K35" i="17"/>
  <c r="L29" i="17"/>
  <c r="L31" i="17" s="1"/>
  <c r="L39" i="17" s="1"/>
  <c r="L37" i="17" s="1"/>
  <c r="L43" i="17"/>
  <c r="M109" i="17"/>
  <c r="J34" i="17"/>
  <c r="I95" i="17"/>
  <c r="I147" i="17"/>
  <c r="K30" i="17"/>
  <c r="K33" i="17" s="1"/>
  <c r="L65" i="17"/>
  <c r="L59" i="17"/>
  <c r="L69" i="17" s="1"/>
  <c r="L67" i="17" s="1"/>
  <c r="L169" i="17"/>
  <c r="L110" i="17"/>
  <c r="L104" i="17"/>
  <c r="L114" i="17" s="1"/>
  <c r="L112" i="17" s="1"/>
  <c r="L166" i="17"/>
  <c r="M6" i="17"/>
  <c r="N6" i="17" s="1"/>
  <c r="J137" i="17"/>
  <c r="J94" i="17"/>
  <c r="K48" i="17"/>
  <c r="K75" i="17" s="1"/>
  <c r="K46" i="17"/>
  <c r="K49" i="17" s="1"/>
  <c r="K50" i="17" s="1"/>
  <c r="J73" i="17"/>
  <c r="J77" i="17" s="1"/>
  <c r="J79" i="17" s="1"/>
  <c r="M102" i="17"/>
  <c r="M57" i="17"/>
  <c r="N23" i="17"/>
  <c r="N61" i="17"/>
  <c r="N17" i="17"/>
  <c r="N18" i="17"/>
  <c r="N107" i="17"/>
  <c r="N108" i="17" s="1"/>
  <c r="N62" i="17"/>
  <c r="N63" i="17" s="1"/>
  <c r="L88" i="17"/>
  <c r="L128" i="17" s="1"/>
  <c r="K93" i="17"/>
  <c r="K133" i="17" s="1"/>
  <c r="K91" i="17"/>
  <c r="I183" i="17"/>
  <c r="K100" i="17"/>
  <c r="K98" i="17" s="1"/>
  <c r="M90" i="17"/>
  <c r="M20" i="17"/>
  <c r="M117" i="17" s="1"/>
  <c r="M19" i="17"/>
  <c r="L130" i="17"/>
  <c r="L132" i="17" s="1"/>
  <c r="L142" i="17" s="1"/>
  <c r="L140" i="17" s="1"/>
  <c r="L92" i="17"/>
  <c r="M12" i="13"/>
  <c r="M14" i="13" s="1"/>
  <c r="L14" i="13"/>
  <c r="J37" i="13"/>
  <c r="I40" i="13"/>
  <c r="I31" i="13"/>
  <c r="H34" i="13"/>
  <c r="I27" i="13"/>
  <c r="I28" i="13"/>
  <c r="J25" i="13"/>
  <c r="J19" i="13"/>
  <c r="I21" i="13"/>
  <c r="I22" i="13"/>
  <c r="H15" i="13"/>
  <c r="H16" i="13"/>
  <c r="H17" i="13" s="1"/>
  <c r="I13" i="13"/>
  <c r="L45" i="17" l="1"/>
  <c r="L70" i="17"/>
  <c r="K47" i="17"/>
  <c r="K55" i="17" s="1"/>
  <c r="K53" i="17" s="1"/>
  <c r="K72" i="17"/>
  <c r="K74" i="17" s="1"/>
  <c r="K84" i="17" s="1"/>
  <c r="K82" i="17" s="1"/>
  <c r="K51" i="17"/>
  <c r="J80" i="17"/>
  <c r="K123" i="17"/>
  <c r="K138" i="17" s="1"/>
  <c r="J138" i="17"/>
  <c r="M181" i="17"/>
  <c r="M178" i="17"/>
  <c r="M175" i="17"/>
  <c r="M172" i="17"/>
  <c r="M160" i="17"/>
  <c r="M163" i="17"/>
  <c r="L157" i="17"/>
  <c r="L193" i="17" s="1"/>
  <c r="L151" i="17"/>
  <c r="L187" i="17" s="1"/>
  <c r="L154" i="17"/>
  <c r="L190" i="17" s="1"/>
  <c r="L148" i="17"/>
  <c r="L184" i="17" s="1"/>
  <c r="L96" i="17"/>
  <c r="M96" i="17" s="1"/>
  <c r="K149" i="17"/>
  <c r="K185" i="17" s="1"/>
  <c r="K152" i="17"/>
  <c r="K188" i="17" s="1"/>
  <c r="K155" i="17"/>
  <c r="K191" i="17" s="1"/>
  <c r="K146" i="17"/>
  <c r="K182" i="17" s="1"/>
  <c r="M4" i="17"/>
  <c r="N4" i="17" s="1"/>
  <c r="M119" i="17"/>
  <c r="M127" i="17" s="1"/>
  <c r="M125" i="17" s="1"/>
  <c r="L35" i="17"/>
  <c r="K34" i="17"/>
  <c r="M29" i="17"/>
  <c r="M43" i="17"/>
  <c r="J95" i="17"/>
  <c r="K79" i="17"/>
  <c r="N109" i="17"/>
  <c r="N90" i="17"/>
  <c r="N19" i="17"/>
  <c r="N20" i="17"/>
  <c r="N117" i="17" s="1"/>
  <c r="M169" i="17"/>
  <c r="M104" i="17"/>
  <c r="M114" i="17" s="1"/>
  <c r="M112" i="17" s="1"/>
  <c r="M166" i="17"/>
  <c r="M110" i="17"/>
  <c r="M130" i="17"/>
  <c r="M132" i="17" s="1"/>
  <c r="M142" i="17" s="1"/>
  <c r="M140" i="17" s="1"/>
  <c r="M92" i="17"/>
  <c r="I189" i="17"/>
  <c r="M8" i="17" s="1"/>
  <c r="N8" i="17" s="1"/>
  <c r="N64" i="17"/>
  <c r="L30" i="17"/>
  <c r="L33" i="17" s="1"/>
  <c r="N102" i="17"/>
  <c r="N57" i="17"/>
  <c r="K131" i="17"/>
  <c r="K135" i="17" s="1"/>
  <c r="K137" i="17" s="1"/>
  <c r="L46" i="17"/>
  <c r="L49" i="17" s="1"/>
  <c r="L50" i="17" s="1"/>
  <c r="L48" i="17"/>
  <c r="L75" i="17" s="1"/>
  <c r="M10" i="17"/>
  <c r="N10" i="17" s="1"/>
  <c r="L100" i="17"/>
  <c r="L98" i="17" s="1"/>
  <c r="M88" i="17"/>
  <c r="M128" i="17" s="1"/>
  <c r="K94" i="17"/>
  <c r="L131" i="17"/>
  <c r="L135" i="17" s="1"/>
  <c r="L91" i="17"/>
  <c r="L93" i="17"/>
  <c r="L133" i="17" s="1"/>
  <c r="M59" i="17"/>
  <c r="M69" i="17" s="1"/>
  <c r="M67" i="17" s="1"/>
  <c r="M65" i="17"/>
  <c r="J39" i="13"/>
  <c r="J40" i="13"/>
  <c r="K37" i="13"/>
  <c r="I34" i="13"/>
  <c r="J31" i="13"/>
  <c r="H35" i="13"/>
  <c r="K25" i="13"/>
  <c r="J27" i="13"/>
  <c r="J28" i="13"/>
  <c r="J22" i="13"/>
  <c r="J21" i="13"/>
  <c r="K19" i="13"/>
  <c r="J13" i="13"/>
  <c r="I15" i="13"/>
  <c r="I16" i="13"/>
  <c r="M45" i="17" l="1"/>
  <c r="M70" i="17"/>
  <c r="M73" i="17" s="1"/>
  <c r="M77" i="17" s="1"/>
  <c r="L72" i="17"/>
  <c r="L74" i="17" s="1"/>
  <c r="L84" i="17" s="1"/>
  <c r="L82" i="17" s="1"/>
  <c r="L51" i="17"/>
  <c r="L47" i="17"/>
  <c r="L55" i="17" s="1"/>
  <c r="L53" i="17" s="1"/>
  <c r="K80" i="17"/>
  <c r="L123" i="17"/>
  <c r="N175" i="17"/>
  <c r="N172" i="17"/>
  <c r="N178" i="17"/>
  <c r="N181" i="17"/>
  <c r="M148" i="17"/>
  <c r="M184" i="17" s="1"/>
  <c r="M151" i="17"/>
  <c r="M187" i="17" s="1"/>
  <c r="M154" i="17"/>
  <c r="M190" i="17" s="1"/>
  <c r="M157" i="17"/>
  <c r="M193" i="17" s="1"/>
  <c r="L149" i="17"/>
  <c r="L185" i="17" s="1"/>
  <c r="L152" i="17"/>
  <c r="L188" i="17" s="1"/>
  <c r="L155" i="17"/>
  <c r="L191" i="17" s="1"/>
  <c r="L146" i="17"/>
  <c r="L182" i="17" s="1"/>
  <c r="L34" i="17"/>
  <c r="N160" i="17"/>
  <c r="N163" i="17"/>
  <c r="N119" i="17"/>
  <c r="N127" i="17" s="1"/>
  <c r="N125" i="17" s="1"/>
  <c r="N126" i="17" s="1"/>
  <c r="M35" i="17"/>
  <c r="M31" i="17"/>
  <c r="M39" i="17" s="1"/>
  <c r="M37" i="17" s="1"/>
  <c r="N29" i="17"/>
  <c r="N43" i="17"/>
  <c r="K95" i="17"/>
  <c r="M46" i="17"/>
  <c r="M49" i="17" s="1"/>
  <c r="M50" i="17" s="1"/>
  <c r="M48" i="17"/>
  <c r="M75" i="17" s="1"/>
  <c r="N65" i="17"/>
  <c r="N66" i="17" s="1"/>
  <c r="N59" i="17"/>
  <c r="N69" i="17" s="1"/>
  <c r="N67" i="17" s="1"/>
  <c r="N68" i="17" s="1"/>
  <c r="M100" i="17"/>
  <c r="M98" i="17" s="1"/>
  <c r="N88" i="17"/>
  <c r="N128" i="17" s="1"/>
  <c r="N21" i="17"/>
  <c r="N130" i="17"/>
  <c r="N132" i="17" s="1"/>
  <c r="N142" i="17" s="1"/>
  <c r="N140" i="17" s="1"/>
  <c r="N141" i="17" s="1"/>
  <c r="N92" i="17"/>
  <c r="N96" i="17"/>
  <c r="M131" i="17"/>
  <c r="M135" i="17" s="1"/>
  <c r="M91" i="17"/>
  <c r="M93" i="17"/>
  <c r="M133" i="17" s="1"/>
  <c r="L137" i="17"/>
  <c r="N110" i="17"/>
  <c r="N111" i="17" s="1"/>
  <c r="N169" i="17"/>
  <c r="N166" i="17"/>
  <c r="N104" i="17"/>
  <c r="N114" i="17" s="1"/>
  <c r="N112" i="17" s="1"/>
  <c r="N113" i="17" s="1"/>
  <c r="N31" i="17"/>
  <c r="N39" i="17" s="1"/>
  <c r="L94" i="17"/>
  <c r="M30" i="17"/>
  <c r="M33" i="17" s="1"/>
  <c r="M34" i="17" s="1"/>
  <c r="L73" i="17"/>
  <c r="L77" i="17" s="1"/>
  <c r="K40" i="13"/>
  <c r="K39" i="13"/>
  <c r="L37" i="13"/>
  <c r="J34" i="13"/>
  <c r="J33" i="13"/>
  <c r="K31" i="13"/>
  <c r="K28" i="13"/>
  <c r="K27" i="13"/>
  <c r="L25" i="13"/>
  <c r="L19" i="13"/>
  <c r="K22" i="13"/>
  <c r="K21" i="13"/>
  <c r="K13" i="13"/>
  <c r="J16" i="13"/>
  <c r="J15" i="13"/>
  <c r="N45" i="17" l="1"/>
  <c r="N70" i="17"/>
  <c r="M72" i="17"/>
  <c r="M74" i="17" s="1"/>
  <c r="M84" i="17" s="1"/>
  <c r="M82" i="17" s="1"/>
  <c r="M47" i="17"/>
  <c r="M55" i="17" s="1"/>
  <c r="M53" i="17" s="1"/>
  <c r="M51" i="17"/>
  <c r="L80" i="17"/>
  <c r="M123" i="17"/>
  <c r="L138" i="17"/>
  <c r="N35" i="17"/>
  <c r="N148" i="17"/>
  <c r="N184" i="17" s="1"/>
  <c r="N151" i="17"/>
  <c r="N187" i="17" s="1"/>
  <c r="N154" i="17"/>
  <c r="N190" i="17" s="1"/>
  <c r="N157" i="17"/>
  <c r="N193" i="17" s="1"/>
  <c r="M149" i="17"/>
  <c r="M185" i="17" s="1"/>
  <c r="M152" i="17"/>
  <c r="M188" i="17" s="1"/>
  <c r="M155" i="17"/>
  <c r="M191" i="17" s="1"/>
  <c r="M146" i="17"/>
  <c r="M182" i="17" s="1"/>
  <c r="N37" i="17"/>
  <c r="N38" i="17" s="1"/>
  <c r="L95" i="17"/>
  <c r="M137" i="17"/>
  <c r="N100" i="17"/>
  <c r="N98" i="17" s="1"/>
  <c r="N99" i="17" s="1"/>
  <c r="N46" i="17"/>
  <c r="N49" i="17" s="1"/>
  <c r="N50" i="17" s="1"/>
  <c r="N48" i="17"/>
  <c r="N73" i="17"/>
  <c r="N77" i="17" s="1"/>
  <c r="N78" i="17" s="1"/>
  <c r="N44" i="17"/>
  <c r="N36" i="17"/>
  <c r="M94" i="17"/>
  <c r="N91" i="17"/>
  <c r="N93" i="17"/>
  <c r="L79" i="17"/>
  <c r="M79" i="17" s="1"/>
  <c r="N89" i="17"/>
  <c r="N97" i="17"/>
  <c r="N30" i="17"/>
  <c r="N33" i="17" s="1"/>
  <c r="N34" i="17" s="1"/>
  <c r="N28" i="17"/>
  <c r="L40" i="13"/>
  <c r="L39" i="13"/>
  <c r="M37" i="13"/>
  <c r="K34" i="13"/>
  <c r="K33" i="13"/>
  <c r="L31" i="13"/>
  <c r="M25" i="13"/>
  <c r="L27" i="13"/>
  <c r="L28" i="13"/>
  <c r="L21" i="13"/>
  <c r="L22" i="13"/>
  <c r="M19" i="13"/>
  <c r="L13" i="13"/>
  <c r="K16" i="13"/>
  <c r="K15" i="13"/>
  <c r="N75" i="17" l="1"/>
  <c r="N76" i="17" s="1"/>
  <c r="N72" i="17"/>
  <c r="N74" i="17" s="1"/>
  <c r="N84" i="17" s="1"/>
  <c r="N82" i="17" s="1"/>
  <c r="N83" i="17" s="1"/>
  <c r="N47" i="17"/>
  <c r="N55" i="17" s="1"/>
  <c r="N53" i="17" s="1"/>
  <c r="N54" i="17" s="1"/>
  <c r="N51" i="17"/>
  <c r="N52" i="17" s="1"/>
  <c r="M80" i="17"/>
  <c r="M138" i="17"/>
  <c r="N123" i="17"/>
  <c r="N133" i="17"/>
  <c r="N134" i="17" s="1"/>
  <c r="N146" i="17"/>
  <c r="N182" i="17" s="1"/>
  <c r="N155" i="17"/>
  <c r="N149" i="17"/>
  <c r="N152" i="17"/>
  <c r="M95" i="17"/>
  <c r="N71" i="17"/>
  <c r="N79" i="17"/>
  <c r="N131" i="17"/>
  <c r="N135" i="17" s="1"/>
  <c r="N129" i="17"/>
  <c r="N94" i="17"/>
  <c r="M39" i="13"/>
  <c r="M40" i="13"/>
  <c r="M41" i="13" s="1"/>
  <c r="M31" i="13"/>
  <c r="L33" i="13"/>
  <c r="L34" i="13"/>
  <c r="M27" i="13"/>
  <c r="M28" i="13"/>
  <c r="M29" i="13" s="1"/>
  <c r="M21" i="13"/>
  <c r="M22" i="13"/>
  <c r="M23" i="13" s="1"/>
  <c r="L15" i="13"/>
  <c r="L16" i="13"/>
  <c r="M13" i="13"/>
  <c r="N124" i="17" l="1"/>
  <c r="N80" i="17"/>
  <c r="N81" i="17" s="1"/>
  <c r="N138" i="17"/>
  <c r="N139" i="17" s="1"/>
  <c r="N150" i="17"/>
  <c r="N185" i="17"/>
  <c r="N186" i="17" s="1"/>
  <c r="N156" i="17"/>
  <c r="N191" i="17"/>
  <c r="N192" i="17" s="1"/>
  <c r="N153" i="17"/>
  <c r="N188" i="17"/>
  <c r="N95" i="17"/>
  <c r="N183" i="17"/>
  <c r="N147" i="17"/>
  <c r="N189" i="17"/>
  <c r="N136" i="17"/>
  <c r="N137" i="17"/>
  <c r="M33" i="13"/>
  <c r="M34" i="13"/>
  <c r="M35" i="13" s="1"/>
  <c r="M15" i="13"/>
  <c r="M16" i="13"/>
  <c r="M17" i="13" l="1"/>
</calcChain>
</file>

<file path=xl/sharedStrings.xml><?xml version="1.0" encoding="utf-8"?>
<sst xmlns="http://schemas.openxmlformats.org/spreadsheetml/2006/main" count="368" uniqueCount="84">
  <si>
    <t>Bitcoin USD Price</t>
  </si>
  <si>
    <t>Bitcoin USD Marketcap</t>
  </si>
  <si>
    <t>Bitcoin USD Price Start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</si>
  <si>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</si>
  <si>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</si>
  <si>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</si>
  <si>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</si>
  <si>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</si>
  <si>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</si>
  <si>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</si>
  <si>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</si>
  <si>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</si>
  <si>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</si>
  <si>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</si>
  <si>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</si>
  <si>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Annual BTC Yield %</t>
  </si>
  <si>
    <t>Bitcoin Growth Yield (BiGY)</t>
  </si>
  <si>
    <t>Bitcoin Transaction Yield (BiTY)</t>
  </si>
  <si>
    <t>Total Yield</t>
  </si>
  <si>
    <t>Annual</t>
  </si>
  <si>
    <t>Bitcoin</t>
  </si>
  <si>
    <t>Test Case</t>
  </si>
  <si>
    <t>Annual Average</t>
  </si>
  <si>
    <t>Bitcoin Compound Annual Growth Rate Calculator</t>
  </si>
  <si>
    <t>Start Price</t>
  </si>
  <si>
    <t>Start Date</t>
  </si>
  <si>
    <t>End Price</t>
  </si>
  <si>
    <t>End Date</t>
  </si>
  <si>
    <t>Bitcoin Yield Estimate Variables</t>
  </si>
  <si>
    <t>Compound Annual Growth Rate</t>
  </si>
  <si>
    <t>Bitcoin Compound Annual Growth Rate (CAGR)</t>
  </si>
  <si>
    <t>Annual Average BTC Yield %</t>
  </si>
  <si>
    <t>USD %</t>
  </si>
  <si>
    <t>BTC %</t>
  </si>
  <si>
    <t>Stable Balancer BTC %</t>
  </si>
  <si>
    <t>Stable Provider BTC %</t>
  </si>
  <si>
    <t>Stable Receiver USD %</t>
  </si>
  <si>
    <t>Stable Receiver / Fiat Investor</t>
  </si>
  <si>
    <t>Stable Provider / Bitcoin Investor</t>
  </si>
  <si>
    <t>Stable Balancer / Lightning Bank</t>
  </si>
  <si>
    <t>Total BTC %</t>
  </si>
  <si>
    <t>BTC</t>
  </si>
  <si>
    <t>USD</t>
  </si>
  <si>
    <t>SR USD Comp.</t>
  </si>
  <si>
    <t>USD
Compounded</t>
  </si>
  <si>
    <t>USD
Simple</t>
  </si>
  <si>
    <t>SP BiGY BTC</t>
  </si>
  <si>
    <t>SP Total BTC</t>
  </si>
  <si>
    <t>SB BiGY BTC</t>
  </si>
  <si>
    <t>SB Total BTC</t>
  </si>
  <si>
    <t>Annual Avg. %</t>
  </si>
  <si>
    <t>Annual Avg.</t>
  </si>
  <si>
    <t>Cumulative</t>
  </si>
  <si>
    <t>Cumulative %</t>
  </si>
  <si>
    <t>Remaining %</t>
  </si>
  <si>
    <t>Annual %</t>
  </si>
  <si>
    <t>Annual Average %</t>
  </si>
  <si>
    <t>Channel Annual %</t>
  </si>
  <si>
    <t>Channel Cumulative %</t>
  </si>
  <si>
    <t>Test Case Annual</t>
  </si>
  <si>
    <t>Test Case Cumulative</t>
  </si>
  <si>
    <t>Test Case Annual Average</t>
  </si>
  <si>
    <t>Price</t>
  </si>
  <si>
    <t>Marketcap</t>
  </si>
  <si>
    <t>Unit of Account</t>
  </si>
  <si>
    <t>Measure</t>
  </si>
  <si>
    <t>Yield Estimate Calculator</t>
  </si>
  <si>
    <t>Bitcoin TVL</t>
  </si>
  <si>
    <t>BTC Measure</t>
  </si>
  <si>
    <t>BTC TVL</t>
  </si>
  <si>
    <t>Bitcoin Yield Estimate 10 Year Burndown Summary</t>
  </si>
  <si>
    <r>
      <t xml:space="preserve">Bitcoin Yield Estimate 5 Year Summary
</t>
    </r>
    <r>
      <rPr>
        <sz val="11"/>
        <rFont val="Aptos Display"/>
        <family val="2"/>
        <scheme val="major"/>
      </rPr>
      <t>Stable Receiver = SR
Stable Provider = SP
Stable Balancer = SB</t>
    </r>
  </si>
  <si>
    <r>
      <t xml:space="preserve">Lightning Bank 5 Year Revenue Summary
</t>
    </r>
    <r>
      <rPr>
        <sz val="11"/>
        <rFont val="Aptos Display"/>
        <family val="2"/>
        <scheme val="major"/>
      </rPr>
      <t>Total Value Locked = TVL</t>
    </r>
  </si>
  <si>
    <t>Bitcoin Loan Yield (BiLY)</t>
  </si>
  <si>
    <t>SB BiLY BTC</t>
  </si>
  <si>
    <t>SB BiTY BTC</t>
  </si>
  <si>
    <t>SP BiTY BTC</t>
  </si>
  <si>
    <r>
      <t xml:space="preserve">Bitcoin Yield Estimate Variables
</t>
    </r>
    <r>
      <rPr>
        <sz val="11"/>
        <rFont val="Aptos Display"/>
        <family val="2"/>
        <scheme val="major"/>
      </rPr>
      <t>Bitcoin Transaction Yield = BiTY
Bitcoin Growth Yield = BiGY
Bitcoin Loan Yield = BiLY</t>
    </r>
  </si>
  <si>
    <t>Annual BiTY %</t>
  </si>
  <si>
    <t>SP Loan BTC</t>
  </si>
  <si>
    <t>SP Annual Loan USD %</t>
  </si>
  <si>
    <t>SP Loan-to-Value %</t>
  </si>
  <si>
    <t>Bitcoin Lightning Bank
The Decentralized Strategy
Pairing Bitcoin Investors with Fiat Investors for Yield Extraction and Leveraged Lending</t>
  </si>
  <si>
    <t>Annual BiGY % (CAGR)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</si>
</sst>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##0.00,,&quot; M&quot;"/>
    <numFmt numFmtId="165" formatCode="&quot;$&quot;#,##0,&quot; K&quot;"/>
    <numFmt numFmtId="166" formatCode="&quot;$&quot;###0.00,,,,&quot; T&quot;"/>
    <numFmt numFmtId="167" formatCode="&quot;$&quot;#,##0.00"/>
    <numFmt numFmtId="168" formatCode="#,##0,&quot; K&quot;"/>
    <numFmt numFmtId="169" formatCode="###0.0,,&quot; M&quot;"/>
    <numFmt numFmtId="170" formatCode="&quot;$&quot;###0.00,,,&quot; B&quot;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8"/>
      <color theme="1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1" tint="0.34998626667073579"/>
      </bottom>
      <diagonal/>
    </border>
    <border>
      <left style="thin">
        <color theme="0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7" fillId="11" borderId="0" applyNumberFormat="0" applyBorder="0" applyAlignment="0" applyProtection="0"/>
  </cellStyleXfs>
  <cellXfs count="142">
    <xf numFmtId="0" fontId="0" fillId="0" borderId="0" xfId="0"/>
    <xf numFmtId="0" fontId="1" fillId="0" borderId="4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 wrapText="1" indent="1"/>
    </xf>
    <xf numFmtId="10" fontId="4" fillId="6" borderId="6" xfId="0" applyNumberFormat="1" applyFont="1" applyFill="1" applyBorder="1" applyAlignment="1">
      <alignment horizontal="left" vertical="center" wrapText="1" indent="1"/>
    </xf>
    <xf numFmtId="10" fontId="4" fillId="6" borderId="5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7" fontId="1" fillId="0" borderId="0" xfId="0" applyNumberFormat="1" applyFont="1" applyAlignment="1">
      <alignment horizontal="left" vertical="center" indent="1"/>
    </xf>
    <xf numFmtId="0" fontId="5" fillId="5" borderId="10" xfId="0" applyFont="1" applyFill="1" applyBorder="1" applyAlignment="1">
      <alignment horizontal="left" vertical="center" indent="1"/>
    </xf>
    <xf numFmtId="10" fontId="5" fillId="5" borderId="10" xfId="0" applyNumberFormat="1" applyFont="1" applyFill="1" applyBorder="1" applyAlignment="1">
      <alignment horizontal="left" vertical="center" indent="1"/>
    </xf>
    <xf numFmtId="10" fontId="4" fillId="5" borderId="10" xfId="0" applyNumberFormat="1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6" borderId="12" xfId="0" applyNumberFormat="1" applyFont="1" applyFill="1" applyBorder="1" applyAlignment="1">
      <alignment horizontal="left" vertical="center" indent="1"/>
    </xf>
    <xf numFmtId="165" fontId="1" fillId="6" borderId="12" xfId="0" applyNumberFormat="1" applyFont="1" applyFill="1" applyBorder="1" applyAlignment="1">
      <alignment horizontal="left" vertical="center" indent="1"/>
    </xf>
    <xf numFmtId="165" fontId="1" fillId="0" borderId="12" xfId="0" applyNumberFormat="1" applyFont="1" applyBorder="1" applyAlignment="1">
      <alignment horizontal="left" vertical="center" indent="1"/>
    </xf>
    <xf numFmtId="166" fontId="1" fillId="0" borderId="12" xfId="0" applyNumberFormat="1" applyFont="1" applyBorder="1" applyAlignment="1">
      <alignment horizontal="left" vertical="center" indent="1"/>
    </xf>
    <xf numFmtId="10" fontId="3" fillId="0" borderId="12" xfId="0" applyNumberFormat="1" applyFont="1" applyBorder="1" applyAlignment="1">
      <alignment horizontal="left" vertical="center" indent="1"/>
    </xf>
    <xf numFmtId="3" fontId="1" fillId="0" borderId="12" xfId="0" applyNumberFormat="1" applyFont="1" applyBorder="1" applyAlignment="1">
      <alignment horizontal="left" vertical="center" indent="1"/>
    </xf>
    <xf numFmtId="3" fontId="4" fillId="8" borderId="12" xfId="0" applyNumberFormat="1" applyFont="1" applyFill="1" applyBorder="1" applyAlignment="1">
      <alignment horizontal="left" vertical="center" indent="1"/>
    </xf>
    <xf numFmtId="3" fontId="4" fillId="5" borderId="10" xfId="0" applyNumberFormat="1" applyFont="1" applyFill="1" applyBorder="1" applyAlignment="1">
      <alignment horizontal="left" vertical="center" indent="1"/>
    </xf>
    <xf numFmtId="3" fontId="4" fillId="8" borderId="10" xfId="0" applyNumberFormat="1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wrapText="1" indent="1"/>
    </xf>
    <xf numFmtId="0" fontId="4" fillId="4" borderId="11" xfId="0" applyFont="1" applyFill="1" applyBorder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10" fontId="4" fillId="0" borderId="3" xfId="0" applyNumberFormat="1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wrapText="1" indent="1"/>
    </xf>
    <xf numFmtId="164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indent="1"/>
    </xf>
    <xf numFmtId="10" fontId="5" fillId="4" borderId="10" xfId="0" applyNumberFormat="1" applyFont="1" applyFill="1" applyBorder="1" applyAlignment="1">
      <alignment horizontal="left" vertical="center" wrapText="1" indent="1"/>
    </xf>
    <xf numFmtId="10" fontId="5" fillId="6" borderId="10" xfId="0" applyNumberFormat="1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10" fontId="4" fillId="8" borderId="10" xfId="0" applyNumberFormat="1" applyFont="1" applyFill="1" applyBorder="1" applyAlignment="1">
      <alignment horizontal="left" vertical="center" indent="1"/>
    </xf>
    <xf numFmtId="10" fontId="4" fillId="7" borderId="11" xfId="0" applyNumberFormat="1" applyFont="1" applyFill="1" applyBorder="1" applyAlignment="1">
      <alignment horizontal="left" vertical="center" indent="1"/>
    </xf>
    <xf numFmtId="10" fontId="4" fillId="4" borderId="11" xfId="0" applyNumberFormat="1" applyFont="1" applyFill="1" applyBorder="1" applyAlignment="1">
      <alignment horizontal="left" vertical="center" indent="1"/>
    </xf>
    <xf numFmtId="10" fontId="4" fillId="3" borderId="11" xfId="0" applyNumberFormat="1" applyFont="1" applyFill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10" fontId="4" fillId="8" borderId="11" xfId="0" applyNumberFormat="1" applyFont="1" applyFill="1" applyBorder="1" applyAlignment="1">
      <alignment horizontal="left" vertical="center" wrapText="1" indent="1"/>
    </xf>
    <xf numFmtId="10" fontId="4" fillId="8" borderId="20" xfId="0" applyNumberFormat="1" applyFont="1" applyFill="1" applyBorder="1" applyAlignment="1">
      <alignment horizontal="left" vertical="center" wrapText="1" indent="1"/>
    </xf>
    <xf numFmtId="3" fontId="4" fillId="8" borderId="10" xfId="0" applyNumberFormat="1" applyFont="1" applyFill="1" applyBorder="1" applyAlignment="1">
      <alignment horizontal="left" vertical="center" wrapText="1" indent="1"/>
    </xf>
    <xf numFmtId="3" fontId="4" fillId="8" borderId="11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10" fontId="5" fillId="7" borderId="0" xfId="0" applyNumberFormat="1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indent="1"/>
    </xf>
    <xf numFmtId="10" fontId="5" fillId="3" borderId="0" xfId="0" applyNumberFormat="1" applyFont="1" applyFill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4" fontId="1" fillId="0" borderId="22" xfId="0" applyNumberFormat="1" applyFont="1" applyBorder="1" applyAlignment="1">
      <alignment horizontal="left" vertical="center" indent="1"/>
    </xf>
    <xf numFmtId="164" fontId="1" fillId="0" borderId="23" xfId="0" applyNumberFormat="1" applyFont="1" applyBorder="1" applyAlignment="1">
      <alignment horizontal="left" vertical="center" indent="1"/>
    </xf>
    <xf numFmtId="166" fontId="1" fillId="0" borderId="22" xfId="0" applyNumberFormat="1" applyFont="1" applyBorder="1" applyAlignment="1">
      <alignment horizontal="left" vertical="center" indent="1"/>
    </xf>
    <xf numFmtId="166" fontId="1" fillId="0" borderId="23" xfId="0" applyNumberFormat="1" applyFont="1" applyBorder="1" applyAlignment="1">
      <alignment horizontal="left" vertical="center" indent="1"/>
    </xf>
    <xf numFmtId="10" fontId="5" fillId="5" borderId="21" xfId="0" applyNumberFormat="1" applyFont="1" applyFill="1" applyBorder="1" applyAlignment="1">
      <alignment horizontal="left" vertical="center" indent="1"/>
    </xf>
    <xf numFmtId="10" fontId="5" fillId="8" borderId="21" xfId="0" applyNumberFormat="1" applyFont="1" applyFill="1" applyBorder="1" applyAlignment="1">
      <alignment horizontal="left" vertical="center" indent="1"/>
    </xf>
    <xf numFmtId="10" fontId="1" fillId="0" borderId="22" xfId="0" applyNumberFormat="1" applyFont="1" applyBorder="1" applyAlignment="1">
      <alignment horizontal="left" vertical="center" indent="1"/>
    </xf>
    <xf numFmtId="10" fontId="1" fillId="0" borderId="23" xfId="0" applyNumberFormat="1" applyFont="1" applyBorder="1" applyAlignment="1">
      <alignment horizontal="left" vertical="center" indent="1"/>
    </xf>
    <xf numFmtId="10" fontId="3" fillId="0" borderId="23" xfId="0" applyNumberFormat="1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5" fillId="5" borderId="25" xfId="0" applyFont="1" applyFill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wrapText="1" indent="1"/>
    </xf>
    <xf numFmtId="10" fontId="4" fillId="7" borderId="12" xfId="0" applyNumberFormat="1" applyFont="1" applyFill="1" applyBorder="1" applyAlignment="1">
      <alignment vertical="center" wrapText="1"/>
    </xf>
    <xf numFmtId="10" fontId="4" fillId="6" borderId="12" xfId="0" applyNumberFormat="1" applyFont="1" applyFill="1" applyBorder="1" applyAlignment="1">
      <alignment horizontal="left" vertical="center" wrapText="1" indent="1"/>
    </xf>
    <xf numFmtId="10" fontId="4" fillId="6" borderId="0" xfId="0" applyNumberFormat="1" applyFont="1" applyFill="1" applyAlignment="1">
      <alignment horizontal="left" vertical="center" wrapText="1" indent="1"/>
    </xf>
    <xf numFmtId="0" fontId="1" fillId="0" borderId="27" xfId="0" applyFont="1" applyBorder="1" applyAlignment="1">
      <alignment horizontal="left" vertical="center" indent="1"/>
    </xf>
    <xf numFmtId="0" fontId="4" fillId="10" borderId="11" xfId="0" applyFont="1" applyFill="1" applyBorder="1" applyAlignment="1">
      <alignment horizontal="left" vertical="center" indent="1"/>
    </xf>
    <xf numFmtId="170" fontId="8" fillId="11" borderId="11" xfId="1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wrapText="1" indent="1"/>
    </xf>
    <xf numFmtId="168" fontId="3" fillId="0" borderId="12" xfId="0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wrapText="1" indent="1"/>
    </xf>
    <xf numFmtId="167" fontId="4" fillId="4" borderId="12" xfId="0" applyNumberFormat="1" applyFont="1" applyFill="1" applyBorder="1" applyAlignment="1">
      <alignment horizontal="left" vertical="center" indent="1"/>
    </xf>
    <xf numFmtId="14" fontId="4" fillId="4" borderId="12" xfId="0" applyNumberFormat="1" applyFont="1" applyFill="1" applyBorder="1" applyAlignment="1">
      <alignment horizontal="left" vertical="center" wrapText="1" indent="1"/>
    </xf>
    <xf numFmtId="10" fontId="4" fillId="10" borderId="9" xfId="0" applyNumberFormat="1" applyFont="1" applyFill="1" applyBorder="1" applyAlignment="1">
      <alignment horizontal="left" vertical="center" indent="1"/>
    </xf>
    <xf numFmtId="10" fontId="4" fillId="10" borderId="0" xfId="0" applyNumberFormat="1" applyFont="1" applyFill="1" applyAlignment="1">
      <alignment vertical="center"/>
    </xf>
    <xf numFmtId="0" fontId="4" fillId="9" borderId="18" xfId="0" applyFont="1" applyFill="1" applyBorder="1" applyAlignment="1">
      <alignment horizontal="left" vertical="center" indent="1"/>
    </xf>
    <xf numFmtId="0" fontId="4" fillId="9" borderId="11" xfId="0" applyFont="1" applyFill="1" applyBorder="1" applyAlignment="1">
      <alignment horizontal="left" vertical="center" indent="1"/>
    </xf>
    <xf numFmtId="0" fontId="6" fillId="2" borderId="19" xfId="0" applyFont="1" applyFill="1" applyBorder="1" applyAlignment="1">
      <alignment horizontal="left" vertical="center" wrapText="1" indent="1"/>
    </xf>
    <xf numFmtId="0" fontId="6" fillId="2" borderId="18" xfId="0" applyFont="1" applyFill="1" applyBorder="1" applyAlignment="1">
      <alignment horizontal="left" vertical="center" wrapText="1" indent="1"/>
    </xf>
    <xf numFmtId="0" fontId="6" fillId="2" borderId="9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2" borderId="26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wrapText="1" indent="1"/>
    </xf>
    <xf numFmtId="0" fontId="5" fillId="10" borderId="7" xfId="0" applyFont="1" applyFill="1" applyBorder="1" applyAlignment="1">
      <alignment horizontal="left" vertical="center" indent="1"/>
    </xf>
    <xf numFmtId="0" fontId="5" fillId="10" borderId="11" xfId="0" applyFont="1" applyFill="1" applyBorder="1" applyAlignment="1">
      <alignment horizontal="left" vertical="center" indent="1"/>
    </xf>
    <xf numFmtId="0" fontId="5" fillId="10" borderId="20" xfId="0" applyFont="1" applyFill="1" applyBorder="1" applyAlignment="1">
      <alignment horizontal="left" vertical="center" indent="1"/>
    </xf>
    <xf numFmtId="0" fontId="5" fillId="10" borderId="19" xfId="0" applyFont="1" applyFill="1" applyBorder="1" applyAlignment="1">
      <alignment horizontal="left" vertical="center" wrapText="1" indent="1"/>
    </xf>
    <xf numFmtId="0" fontId="5" fillId="10" borderId="17" xfId="0" applyFont="1" applyFill="1" applyBorder="1" applyAlignment="1">
      <alignment horizontal="left" vertical="center" wrapText="1" indent="1"/>
    </xf>
    <xf numFmtId="0" fontId="5" fillId="10" borderId="11" xfId="0" applyFont="1" applyFill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indent="1"/>
    </xf>
    <xf numFmtId="0" fontId="5" fillId="10" borderId="0" xfId="0" applyFont="1" applyFill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  <xf numFmtId="0" fontId="4" fillId="7" borderId="18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wrapText="1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3" borderId="18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center" indent="1"/>
    </xf>
    <xf numFmtId="168" fontId="1" fillId="0" borderId="15" xfId="0" applyNumberFormat="1" applyFont="1" applyBorder="1" applyAlignment="1">
      <alignment horizontal="left" vertical="center" indent="1"/>
    </xf>
    <xf numFmtId="168" fontId="1" fillId="0" borderId="12" xfId="0" applyNumberFormat="1" applyFont="1" applyBorder="1" applyAlignment="1">
      <alignment horizontal="left" vertical="center" indent="1"/>
    </xf>
    <xf numFmtId="169" fontId="4" fillId="5" borderId="10" xfId="0" applyNumberFormat="1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9" fontId="9" fillId="0" borderId="4" xfId="0" applyNumberFormat="1" applyFont="1" applyBorder="1" applyAlignment="1">
      <alignment horizontal="center" vertical="center"/>
    </xf>
    <xf numFmtId="9" fontId="9" fillId="0" borderId="2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9" fontId="9" fillId="0" borderId="15" xfId="0" applyNumberFormat="1" applyFont="1" applyBorder="1" applyAlignment="1">
      <alignment horizontal="center" vertical="center"/>
    </xf>
    <xf numFmtId="0" fontId="5" fillId="10" borderId="0" xfId="0" applyFont="1" applyFill="1" applyAlignment="1">
      <alignment horizontal="left" vertical="center" indent="1"/>
    </xf>
    <xf numFmtId="169" fontId="3" fillId="0" borderId="4" xfId="0" applyNumberFormat="1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wrapText="1" indent="1"/>
    </xf>
    <xf numFmtId="10" fontId="5" fillId="8" borderId="10" xfId="0" applyNumberFormat="1" applyFont="1" applyFill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left" vertical="center" indent="1"/>
    </xf>
    <xf numFmtId="169" fontId="5" fillId="0" borderId="12" xfId="0" applyNumberFormat="1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 indent="1"/>
    </xf>
  </cellXfs>
  <cellStyles count="2"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312B-7137-4045-8B64-78704731C208}">
  <dimension ref="A1:R195"/>
  <sheetViews>
    <sheetView tabSelected="1" zoomScaleNormal="100" workbookViewId="0">
      <selection activeCell="B2" sqref="B2:C12"/>
    </sheetView>
  </sheetViews>
  <sheetFormatPr defaultRowHeight="15" customHeight="1" x14ac:dyDescent="0.45"/>
  <cols>
    <col min="1" max="1" width="1.73046875" style="5" customWidth="1"/>
    <col min="2" max="2" width="29.19921875" style="2" bestFit="1" customWidth="1"/>
    <col min="3" max="3" width="15.06640625" style="2" bestFit="1" customWidth="1"/>
    <col min="4" max="4" width="22.265625" style="2" bestFit="1" customWidth="1"/>
    <col min="5" max="14" width="13.6640625" style="2" customWidth="1"/>
    <col min="15" max="15" width="1.73046875" style="5" customWidth="1"/>
    <col min="16" max="16" width="14.46484375" style="2" customWidth="1"/>
    <col min="17" max="17" width="1.53125" style="2" customWidth="1"/>
    <col min="18" max="18" width="14.86328125" style="2" bestFit="1" customWidth="1"/>
    <col min="19" max="19" width="9.06640625" style="2" customWidth="1"/>
    <col min="20" max="16384" width="9.06640625" style="2"/>
  </cols>
  <sheetData>
    <row r="1" spans="1:15" ht="1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78"/>
      <c r="L1" s="78"/>
      <c r="M1" s="78"/>
      <c r="N1" s="78"/>
    </row>
    <row r="2" spans="1:15" ht="60" customHeight="1" x14ac:dyDescent="0.45">
      <c r="A2" s="9"/>
      <c r="B2" s="92" t="s">
        <v>82</v>
      </c>
      <c r="C2" s="93"/>
      <c r="D2" s="98" t="s">
        <v>77</v>
      </c>
      <c r="E2" s="99"/>
      <c r="F2" s="9"/>
      <c r="G2" s="102" t="s">
        <v>71</v>
      </c>
      <c r="H2" s="98"/>
      <c r="I2" s="98"/>
      <c r="J2" s="5"/>
      <c r="K2" s="106" t="s">
        <v>72</v>
      </c>
      <c r="L2" s="106"/>
      <c r="M2" s="106"/>
      <c r="N2" s="106"/>
    </row>
    <row r="3" spans="1:15" ht="15" customHeight="1" x14ac:dyDescent="0.45">
      <c r="A3" s="9"/>
      <c r="B3" s="94"/>
      <c r="C3" s="134"/>
      <c r="D3" s="100"/>
      <c r="E3" s="101"/>
      <c r="F3" s="9"/>
      <c r="G3" s="103"/>
      <c r="H3" s="104"/>
      <c r="I3" s="104"/>
      <c r="J3" s="5"/>
      <c r="K3" s="79" t="s">
        <v>67</v>
      </c>
      <c r="L3" s="79" t="s">
        <v>65</v>
      </c>
      <c r="M3" s="79" t="s">
        <v>41</v>
      </c>
      <c r="N3" s="79" t="s">
        <v>42</v>
      </c>
      <c r="O3" s="10"/>
    </row>
    <row r="4" spans="1:15" ht="15" customHeight="1" x14ac:dyDescent="0.45">
      <c r="A4" s="10"/>
      <c r="B4" s="94"/>
      <c r="C4" s="134"/>
      <c r="D4" s="37" t="s">
        <v>2</v>
      </c>
      <c r="E4" s="38">
        <v>100000</v>
      </c>
      <c r="F4" s="10"/>
      <c r="G4" s="138" t="s">
        <v>43</v>
      </c>
      <c r="H4" s="137" t="s">
        <v>50</v>
      </c>
      <c r="I4" s="49">
        <f>I36</f>
        <v>0.22324800000000006</v>
      </c>
      <c r="J4" s="10"/>
      <c r="K4" s="84">
        <f>C146</f>
        <v>20000</v>
      </c>
      <c r="L4" s="85" t="s">
        <v>51</v>
      </c>
      <c r="M4" s="52">
        <f>I183</f>
        <v>261.19264403292181</v>
      </c>
      <c r="N4" s="80">
        <f>M4*$I$16</f>
        <v>64993088</v>
      </c>
      <c r="O4" s="10"/>
    </row>
    <row r="5" spans="1:15" ht="15" customHeight="1" x14ac:dyDescent="0.45">
      <c r="A5" s="43"/>
      <c r="B5" s="94"/>
      <c r="C5" s="134"/>
      <c r="D5" s="20" t="s">
        <v>78</v>
      </c>
      <c r="E5" s="39">
        <v>0.01</v>
      </c>
      <c r="F5" s="43"/>
      <c r="G5" s="60" t="s">
        <v>46</v>
      </c>
      <c r="H5" s="81" t="s">
        <v>50</v>
      </c>
      <c r="I5" s="49">
        <f>I44</f>
        <v>5.9812242798353956E-3</v>
      </c>
      <c r="J5" s="43"/>
      <c r="K5" s="84">
        <f>C146</f>
        <v>20000</v>
      </c>
      <c r="L5" s="82" t="s">
        <v>52</v>
      </c>
      <c r="M5" s="52">
        <f>I184</f>
        <v>1305.9632201646091</v>
      </c>
      <c r="N5" s="80">
        <f>M5*$I$16</f>
        <v>324965440</v>
      </c>
      <c r="O5" s="43"/>
    </row>
    <row r="6" spans="1:15" ht="15" customHeight="1" x14ac:dyDescent="0.45">
      <c r="A6" s="43"/>
      <c r="B6" s="94"/>
      <c r="C6" s="134"/>
      <c r="D6" s="20" t="s">
        <v>83</v>
      </c>
      <c r="E6" s="40">
        <v>0.2</v>
      </c>
      <c r="F6" s="43"/>
      <c r="G6" s="60" t="s">
        <v>76</v>
      </c>
      <c r="H6" s="81" t="s">
        <v>50</v>
      </c>
      <c r="I6" s="49">
        <f>I56</f>
        <v>1.6E-2</v>
      </c>
      <c r="J6" s="43"/>
      <c r="K6" s="84">
        <f>C149</f>
        <v>400000</v>
      </c>
      <c r="L6" s="85" t="s">
        <v>51</v>
      </c>
      <c r="M6" s="32">
        <f>I186</f>
        <v>5223.8528806584363</v>
      </c>
      <c r="N6" s="80">
        <f>M6*$I$16</f>
        <v>1299861760</v>
      </c>
      <c r="O6" s="43"/>
    </row>
    <row r="7" spans="1:15" ht="15" customHeight="1" x14ac:dyDescent="0.45">
      <c r="A7" s="10"/>
      <c r="B7" s="94"/>
      <c r="C7" s="134"/>
      <c r="D7" s="37" t="s">
        <v>36</v>
      </c>
      <c r="E7" s="41">
        <v>0.15</v>
      </c>
      <c r="F7" s="10"/>
      <c r="G7" s="60" t="s">
        <v>79</v>
      </c>
      <c r="H7" s="81" t="s">
        <v>50</v>
      </c>
      <c r="I7" s="49">
        <f>I116</f>
        <v>1.7943672839506174E-2</v>
      </c>
      <c r="J7" s="10"/>
      <c r="K7" s="84">
        <f>C149</f>
        <v>400000</v>
      </c>
      <c r="L7" s="82" t="s">
        <v>52</v>
      </c>
      <c r="M7" s="52">
        <f>I187</f>
        <v>26119.264403292182</v>
      </c>
      <c r="N7" s="80">
        <f>M7*$I$16</f>
        <v>6499308800</v>
      </c>
      <c r="O7" s="10"/>
    </row>
    <row r="8" spans="1:15" ht="15" customHeight="1" x14ac:dyDescent="0.45">
      <c r="A8" s="10"/>
      <c r="B8" s="94"/>
      <c r="C8" s="134"/>
      <c r="D8" s="37" t="s">
        <v>35</v>
      </c>
      <c r="E8" s="41">
        <v>0.8</v>
      </c>
      <c r="F8" s="10"/>
      <c r="G8" s="136" t="s">
        <v>47</v>
      </c>
      <c r="H8" s="137" t="s">
        <v>50</v>
      </c>
      <c r="I8" s="49">
        <f>I71</f>
        <v>4.0375514403292231E-3</v>
      </c>
      <c r="J8" s="10"/>
      <c r="K8" s="139">
        <f>C188</f>
        <v>1000000</v>
      </c>
      <c r="L8" s="140" t="s">
        <v>51</v>
      </c>
      <c r="M8" s="52">
        <f>I189</f>
        <v>13059.632201646091</v>
      </c>
      <c r="N8" s="80">
        <f>M8*$I$16</f>
        <v>3249654400</v>
      </c>
      <c r="O8" s="10"/>
    </row>
    <row r="9" spans="1:15" ht="15" customHeight="1" x14ac:dyDescent="0.45">
      <c r="A9" s="10"/>
      <c r="B9" s="94"/>
      <c r="C9" s="134"/>
      <c r="D9" s="37" t="s">
        <v>34</v>
      </c>
      <c r="E9" s="41">
        <v>0.2</v>
      </c>
      <c r="F9" s="10"/>
      <c r="G9" s="60" t="s">
        <v>48</v>
      </c>
      <c r="H9" s="81" t="s">
        <v>50</v>
      </c>
      <c r="I9" s="50">
        <f>I89</f>
        <v>2.3924897119341561E-2</v>
      </c>
      <c r="J9" s="9"/>
      <c r="K9" s="139">
        <f>C152</f>
        <v>1000000</v>
      </c>
      <c r="L9" s="141" t="s">
        <v>52</v>
      </c>
      <c r="M9" s="51">
        <f>I190</f>
        <v>65298.161008230454</v>
      </c>
      <c r="N9" s="80">
        <f>M9*$I$16</f>
        <v>16248272000</v>
      </c>
      <c r="O9" s="10"/>
    </row>
    <row r="10" spans="1:15" ht="15" customHeight="1" x14ac:dyDescent="0.45">
      <c r="A10" s="10"/>
      <c r="B10" s="94"/>
      <c r="C10" s="134"/>
      <c r="D10" s="37" t="s">
        <v>40</v>
      </c>
      <c r="E10" s="42">
        <f>SUM(E8:E9)</f>
        <v>1</v>
      </c>
      <c r="F10" s="4"/>
      <c r="G10" s="83" t="s">
        <v>75</v>
      </c>
      <c r="H10" s="81" t="s">
        <v>50</v>
      </c>
      <c r="I10" s="50">
        <f>I101</f>
        <v>4.0000000000000001E-3</v>
      </c>
      <c r="J10" s="9"/>
      <c r="K10" s="139">
        <f>C155</f>
        <v>2100000</v>
      </c>
      <c r="L10" s="140" t="s">
        <v>51</v>
      </c>
      <c r="M10" s="52">
        <f>I192</f>
        <v>27425.227623456791</v>
      </c>
      <c r="N10" s="80">
        <f>M10*$I$16</f>
        <v>6824274240</v>
      </c>
      <c r="O10" s="10"/>
    </row>
    <row r="11" spans="1:15" ht="15" customHeight="1" x14ac:dyDescent="0.45">
      <c r="A11" s="10"/>
      <c r="B11" s="94"/>
      <c r="C11" s="134"/>
      <c r="D11" s="37" t="s">
        <v>80</v>
      </c>
      <c r="E11" s="41">
        <v>7.4999999999999997E-2</v>
      </c>
      <c r="F11" s="4"/>
      <c r="G11" s="83" t="s">
        <v>74</v>
      </c>
      <c r="H11" s="81" t="s">
        <v>50</v>
      </c>
      <c r="I11" s="50">
        <f>I116</f>
        <v>1.7943672839506174E-2</v>
      </c>
      <c r="J11" s="9"/>
      <c r="K11" s="139">
        <f>C155</f>
        <v>2100000</v>
      </c>
      <c r="L11" s="141" t="s">
        <v>52</v>
      </c>
      <c r="M11" s="52">
        <f>I193</f>
        <v>137126.13811728396</v>
      </c>
      <c r="N11" s="80">
        <f>M11*$I$16</f>
        <v>34121371200.000004</v>
      </c>
      <c r="O11" s="10"/>
    </row>
    <row r="12" spans="1:15" ht="15" customHeight="1" x14ac:dyDescent="0.45">
      <c r="A12" s="10"/>
      <c r="B12" s="96"/>
      <c r="C12" s="97"/>
      <c r="D12" s="37" t="s">
        <v>81</v>
      </c>
      <c r="E12" s="41">
        <v>0.4</v>
      </c>
      <c r="F12" s="4"/>
      <c r="G12" s="136" t="s">
        <v>49</v>
      </c>
      <c r="H12" s="137" t="s">
        <v>50</v>
      </c>
      <c r="I12" s="50">
        <f>I129</f>
        <v>4.5868569958847735E-2</v>
      </c>
      <c r="J12" s="9"/>
      <c r="K12" s="132"/>
      <c r="L12" s="133"/>
      <c r="M12" s="132"/>
      <c r="N12" s="133"/>
      <c r="O12" s="132"/>
    </row>
    <row r="13" spans="1:15" ht="15" customHeight="1" x14ac:dyDescent="0.45">
      <c r="A13" s="9"/>
      <c r="B13" s="11"/>
      <c r="C13" s="9"/>
      <c r="D13" s="11"/>
      <c r="E13" s="4"/>
      <c r="F13" s="4"/>
      <c r="G13" s="11"/>
      <c r="H13" s="11"/>
      <c r="I13" s="4"/>
      <c r="J13" s="9"/>
      <c r="K13" s="9"/>
      <c r="L13" s="9"/>
      <c r="M13" s="9"/>
      <c r="N13" s="9"/>
      <c r="O13" s="9"/>
    </row>
    <row r="14" spans="1:15" ht="15" customHeight="1" x14ac:dyDescent="0.45">
      <c r="B14" s="105" t="s">
        <v>66</v>
      </c>
      <c r="C14" s="105" t="s">
        <v>64</v>
      </c>
      <c r="D14" s="105" t="s">
        <v>65</v>
      </c>
      <c r="E14" s="90" t="s">
        <v>3</v>
      </c>
      <c r="F14" s="90" t="s">
        <v>4</v>
      </c>
      <c r="G14" s="90" t="s">
        <v>5</v>
      </c>
      <c r="H14" s="90" t="s">
        <v>6</v>
      </c>
      <c r="I14" s="90" t="s">
        <v>7</v>
      </c>
      <c r="J14" s="90" t="s">
        <v>8</v>
      </c>
      <c r="K14" s="90" t="s">
        <v>9</v>
      </c>
      <c r="L14" s="90" t="s">
        <v>10</v>
      </c>
      <c r="M14" s="90" t="s">
        <v>11</v>
      </c>
      <c r="N14" s="90" t="s">
        <v>12</v>
      </c>
    </row>
    <row r="15" spans="1:15" ht="15" customHeight="1" x14ac:dyDescent="0.45">
      <c r="B15" s="100"/>
      <c r="C15" s="100"/>
      <c r="D15" s="100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5" ht="15" customHeight="1" x14ac:dyDescent="0.45">
      <c r="B16" s="107" t="s">
        <v>20</v>
      </c>
      <c r="C16" s="107" t="s">
        <v>42</v>
      </c>
      <c r="D16" s="21" t="s">
        <v>62</v>
      </c>
      <c r="E16" s="23">
        <f>($E$4 * $E$6) + $E$4</f>
        <v>120000</v>
      </c>
      <c r="F16" s="23">
        <f t="shared" ref="F16:N16" si="0">(E16 * $E$6) + E16</f>
        <v>144000</v>
      </c>
      <c r="G16" s="23">
        <f t="shared" si="0"/>
        <v>172800</v>
      </c>
      <c r="H16" s="23">
        <f t="shared" si="0"/>
        <v>207360</v>
      </c>
      <c r="I16" s="23">
        <f t="shared" si="0"/>
        <v>248832</v>
      </c>
      <c r="J16" s="23">
        <f t="shared" si="0"/>
        <v>298598.40000000002</v>
      </c>
      <c r="K16" s="23">
        <f t="shared" si="0"/>
        <v>358318.08000000002</v>
      </c>
      <c r="L16" s="23">
        <f t="shared" si="0"/>
        <v>429981.696</v>
      </c>
      <c r="M16" s="23">
        <f t="shared" si="0"/>
        <v>515978.03519999998</v>
      </c>
      <c r="N16" s="23">
        <f t="shared" si="0"/>
        <v>619173.64223999996</v>
      </c>
    </row>
    <row r="17" spans="1:18" ht="15" customHeight="1" x14ac:dyDescent="0.45">
      <c r="B17" s="108"/>
      <c r="C17" s="108"/>
      <c r="D17" s="21" t="s">
        <v>63</v>
      </c>
      <c r="E17" s="27">
        <f>E16*21000000</f>
        <v>2520000000000</v>
      </c>
      <c r="F17" s="27">
        <f t="shared" ref="F17:N17" si="1">F16*21000000</f>
        <v>3024000000000</v>
      </c>
      <c r="G17" s="27">
        <f t="shared" si="1"/>
        <v>3628800000000</v>
      </c>
      <c r="H17" s="27">
        <f t="shared" si="1"/>
        <v>4354560000000</v>
      </c>
      <c r="I17" s="27">
        <f t="shared" si="1"/>
        <v>5225472000000</v>
      </c>
      <c r="J17" s="27">
        <f t="shared" si="1"/>
        <v>6270566400000.001</v>
      </c>
      <c r="K17" s="27">
        <f t="shared" si="1"/>
        <v>7524679680000</v>
      </c>
      <c r="L17" s="27">
        <f t="shared" si="1"/>
        <v>9029615616000</v>
      </c>
      <c r="M17" s="27">
        <f t="shared" si="1"/>
        <v>10835538739200</v>
      </c>
      <c r="N17" s="27">
        <f t="shared" si="1"/>
        <v>13002646487040</v>
      </c>
    </row>
    <row r="18" spans="1:18" ht="15" customHeight="1" x14ac:dyDescent="0.45">
      <c r="B18" s="107" t="s">
        <v>16</v>
      </c>
      <c r="C18" s="111" t="s">
        <v>41</v>
      </c>
      <c r="D18" s="21" t="s">
        <v>53</v>
      </c>
      <c r="E18" s="28">
        <f t="shared" ref="E18:N18" si="2">(E16-$E$4)/E16</f>
        <v>0.16666666666666666</v>
      </c>
      <c r="F18" s="28">
        <f t="shared" si="2"/>
        <v>0.30555555555555558</v>
      </c>
      <c r="G18" s="28">
        <f t="shared" si="2"/>
        <v>0.42129629629629628</v>
      </c>
      <c r="H18" s="28">
        <f t="shared" si="2"/>
        <v>0.51774691358024694</v>
      </c>
      <c r="I18" s="28">
        <f t="shared" si="2"/>
        <v>0.5981224279835391</v>
      </c>
      <c r="J18" s="28">
        <f t="shared" si="2"/>
        <v>0.66510202331961599</v>
      </c>
      <c r="K18" s="28">
        <f t="shared" si="2"/>
        <v>0.72091835276634664</v>
      </c>
      <c r="L18" s="28">
        <f t="shared" si="2"/>
        <v>0.76743196063862218</v>
      </c>
      <c r="M18" s="28">
        <f t="shared" si="2"/>
        <v>0.80619330053218508</v>
      </c>
      <c r="N18" s="28">
        <f t="shared" si="2"/>
        <v>0.83849441711015427</v>
      </c>
    </row>
    <row r="19" spans="1:18" ht="15" customHeight="1" x14ac:dyDescent="0.45">
      <c r="B19" s="114"/>
      <c r="C19" s="113"/>
      <c r="D19" s="21" t="s">
        <v>54</v>
      </c>
      <c r="E19" s="28">
        <f>1-E18</f>
        <v>0.83333333333333337</v>
      </c>
      <c r="F19" s="28">
        <f t="shared" ref="F19:N19" si="3">1-F18</f>
        <v>0.69444444444444442</v>
      </c>
      <c r="G19" s="28">
        <f t="shared" si="3"/>
        <v>0.57870370370370372</v>
      </c>
      <c r="H19" s="28">
        <f t="shared" si="3"/>
        <v>0.48225308641975306</v>
      </c>
      <c r="I19" s="28">
        <f t="shared" si="3"/>
        <v>0.4018775720164609</v>
      </c>
      <c r="J19" s="28">
        <f t="shared" si="3"/>
        <v>0.33489797668038401</v>
      </c>
      <c r="K19" s="28">
        <f t="shared" si="3"/>
        <v>0.27908164723365336</v>
      </c>
      <c r="L19" s="28">
        <f t="shared" si="3"/>
        <v>0.23256803936137782</v>
      </c>
      <c r="M19" s="28">
        <f t="shared" si="3"/>
        <v>0.19380669946781492</v>
      </c>
      <c r="N19" s="28">
        <f t="shared" si="3"/>
        <v>0.16150558288984573</v>
      </c>
    </row>
    <row r="20" spans="1:18" ht="15" customHeight="1" x14ac:dyDescent="0.45">
      <c r="B20" s="114"/>
      <c r="C20" s="113"/>
      <c r="D20" s="17" t="s">
        <v>55</v>
      </c>
      <c r="E20" s="19">
        <f>E18</f>
        <v>0.16666666666666666</v>
      </c>
      <c r="F20" s="19">
        <f>F18-E18</f>
        <v>0.13888888888888892</v>
      </c>
      <c r="G20" s="19">
        <f>G18-F18</f>
        <v>0.1157407407407407</v>
      </c>
      <c r="H20" s="19">
        <f t="shared" ref="H20:N20" si="4">H18-G18</f>
        <v>9.6450617283950657E-2</v>
      </c>
      <c r="I20" s="19">
        <f t="shared" si="4"/>
        <v>8.0375514403292159E-2</v>
      </c>
      <c r="J20" s="19">
        <f t="shared" si="4"/>
        <v>6.6979595336076891E-2</v>
      </c>
      <c r="K20" s="19">
        <f t="shared" si="4"/>
        <v>5.581632944673065E-2</v>
      </c>
      <c r="L20" s="19">
        <f t="shared" si="4"/>
        <v>4.6513607872275542E-2</v>
      </c>
      <c r="M20" s="19">
        <f t="shared" si="4"/>
        <v>3.8761339893562896E-2</v>
      </c>
      <c r="N20" s="19">
        <f t="shared" si="4"/>
        <v>3.2301116577969191E-2</v>
      </c>
    </row>
    <row r="21" spans="1:18" ht="15" customHeight="1" x14ac:dyDescent="0.45">
      <c r="B21" s="108"/>
      <c r="C21" s="112"/>
      <c r="D21" s="17" t="s">
        <v>56</v>
      </c>
      <c r="E21" s="19"/>
      <c r="F21" s="19"/>
      <c r="G21" s="19"/>
      <c r="H21" s="19"/>
      <c r="I21" s="19">
        <f>SUM(E20:I20)/5</f>
        <v>0.11962448559670782</v>
      </c>
      <c r="J21" s="18"/>
      <c r="K21" s="18"/>
      <c r="L21" s="18"/>
      <c r="M21" s="18"/>
      <c r="N21" s="19">
        <f>SUM(E20:N20)/10</f>
        <v>8.3849441711015424E-2</v>
      </c>
    </row>
    <row r="22" spans="1:18" ht="15" customHeight="1" x14ac:dyDescent="0.45">
      <c r="B22" s="107" t="s">
        <v>17</v>
      </c>
      <c r="C22" s="111" t="s">
        <v>41</v>
      </c>
      <c r="D22" s="17" t="s">
        <v>57</v>
      </c>
      <c r="E22" s="19">
        <f t="shared" ref="E22:N22" si="5">$E$5*2</f>
        <v>0.02</v>
      </c>
      <c r="F22" s="19">
        <f t="shared" si="5"/>
        <v>0.02</v>
      </c>
      <c r="G22" s="19">
        <f t="shared" si="5"/>
        <v>0.02</v>
      </c>
      <c r="H22" s="19">
        <f t="shared" si="5"/>
        <v>0.02</v>
      </c>
      <c r="I22" s="19">
        <f t="shared" si="5"/>
        <v>0.02</v>
      </c>
      <c r="J22" s="19">
        <f t="shared" si="5"/>
        <v>0.02</v>
      </c>
      <c r="K22" s="19">
        <f t="shared" si="5"/>
        <v>0.02</v>
      </c>
      <c r="L22" s="19">
        <f t="shared" si="5"/>
        <v>0.02</v>
      </c>
      <c r="M22" s="19">
        <f t="shared" si="5"/>
        <v>0.02</v>
      </c>
      <c r="N22" s="19">
        <f t="shared" si="5"/>
        <v>0.02</v>
      </c>
    </row>
    <row r="23" spans="1:18" ht="15" customHeight="1" x14ac:dyDescent="0.45">
      <c r="B23" s="108"/>
      <c r="C23" s="112"/>
      <c r="D23" s="17" t="s">
        <v>58</v>
      </c>
      <c r="E23" s="19">
        <f>E22</f>
        <v>0.02</v>
      </c>
      <c r="F23" s="19">
        <f>E23+F22</f>
        <v>0.04</v>
      </c>
      <c r="G23" s="19">
        <f t="shared" ref="G23:N23" si="6">F23+G22</f>
        <v>0.06</v>
      </c>
      <c r="H23" s="19">
        <f t="shared" si="6"/>
        <v>0.08</v>
      </c>
      <c r="I23" s="19">
        <f t="shared" si="6"/>
        <v>0.1</v>
      </c>
      <c r="J23" s="19">
        <f t="shared" si="6"/>
        <v>0.12000000000000001</v>
      </c>
      <c r="K23" s="19">
        <f t="shared" si="6"/>
        <v>0.14000000000000001</v>
      </c>
      <c r="L23" s="19">
        <f t="shared" si="6"/>
        <v>0.16</v>
      </c>
      <c r="M23" s="19">
        <f t="shared" si="6"/>
        <v>0.18</v>
      </c>
      <c r="N23" s="19">
        <f t="shared" si="6"/>
        <v>0.19999999999999998</v>
      </c>
    </row>
    <row r="24" spans="1:18" ht="15" customHeight="1" x14ac:dyDescent="0.45">
      <c r="B24" s="4"/>
      <c r="C24" s="1"/>
      <c r="D24" s="53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1:18" ht="15" customHeight="1" x14ac:dyDescent="0.45">
      <c r="A25" s="9"/>
      <c r="B25" s="109" t="s">
        <v>37</v>
      </c>
      <c r="C25" s="54" t="s">
        <v>32</v>
      </c>
      <c r="D25" s="55">
        <f>E7</f>
        <v>0.15</v>
      </c>
      <c r="E25" s="90" t="s">
        <v>3</v>
      </c>
      <c r="F25" s="90" t="s">
        <v>4</v>
      </c>
      <c r="G25" s="90" t="s">
        <v>5</v>
      </c>
      <c r="H25" s="90" t="s">
        <v>6</v>
      </c>
      <c r="I25" s="90" t="s">
        <v>7</v>
      </c>
      <c r="J25" s="90" t="s">
        <v>8</v>
      </c>
      <c r="K25" s="90" t="s">
        <v>9</v>
      </c>
      <c r="L25" s="90" t="s">
        <v>10</v>
      </c>
      <c r="M25" s="90" t="s">
        <v>11</v>
      </c>
      <c r="N25" s="90" t="s">
        <v>12</v>
      </c>
      <c r="O25" s="9"/>
    </row>
    <row r="26" spans="1:18" ht="15" customHeight="1" x14ac:dyDescent="0.45">
      <c r="B26" s="110"/>
      <c r="C26" s="45" t="s">
        <v>21</v>
      </c>
      <c r="D26" s="33" t="str">
        <f>"10 BTC / "&amp;TEXT($E$4*10, "$###0.00,,")&amp;"M USD"</f>
        <v>10 BTC / $1.00M USD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</row>
    <row r="27" spans="1:18" ht="15" customHeight="1" x14ac:dyDescent="0.45">
      <c r="B27" s="107" t="s">
        <v>16</v>
      </c>
      <c r="C27" s="115" t="s">
        <v>41</v>
      </c>
      <c r="D27" s="17" t="s">
        <v>55</v>
      </c>
      <c r="E27" s="18">
        <f t="shared" ref="E27:N27" si="7">E32*$E$4/E$16</f>
        <v>0.125</v>
      </c>
      <c r="F27" s="18">
        <f t="shared" si="7"/>
        <v>0.10416666666666667</v>
      </c>
      <c r="G27" s="18">
        <f t="shared" si="7"/>
        <v>8.6805555555555552E-2</v>
      </c>
      <c r="H27" s="18">
        <f t="shared" si="7"/>
        <v>7.2337962962962965E-2</v>
      </c>
      <c r="I27" s="18">
        <f t="shared" si="7"/>
        <v>6.0281635802469133E-2</v>
      </c>
      <c r="J27" s="18">
        <f t="shared" si="7"/>
        <v>5.0234696502057606E-2</v>
      </c>
      <c r="K27" s="18">
        <f t="shared" si="7"/>
        <v>4.1862247085048009E-2</v>
      </c>
      <c r="L27" s="18">
        <f t="shared" si="7"/>
        <v>3.4885205904206677E-2</v>
      </c>
      <c r="M27" s="18">
        <f t="shared" si="7"/>
        <v>2.9071004920172231E-2</v>
      </c>
      <c r="N27" s="18">
        <f t="shared" si="7"/>
        <v>2.4225837433476859E-2</v>
      </c>
    </row>
    <row r="28" spans="1:18" ht="15" customHeight="1" x14ac:dyDescent="0.45">
      <c r="B28" s="114"/>
      <c r="C28" s="115"/>
      <c r="D28" s="17" t="s">
        <v>56</v>
      </c>
      <c r="E28" s="18"/>
      <c r="F28" s="18"/>
      <c r="G28" s="18"/>
      <c r="H28" s="18"/>
      <c r="I28" s="19">
        <f>SUM(E27:I27)/5</f>
        <v>8.9718364197530862E-2</v>
      </c>
      <c r="J28" s="18"/>
      <c r="K28" s="18"/>
      <c r="L28" s="18"/>
      <c r="M28" s="18"/>
      <c r="N28" s="19">
        <f>SUM(E27:N27)/10</f>
        <v>6.2887081283261564E-2</v>
      </c>
    </row>
    <row r="29" spans="1:18" ht="15" customHeight="1" x14ac:dyDescent="0.45">
      <c r="B29" s="114"/>
      <c r="C29" s="115"/>
      <c r="D29" s="17" t="s">
        <v>53</v>
      </c>
      <c r="E29" s="18">
        <f>E$18*(E27/E$20)</f>
        <v>0.125</v>
      </c>
      <c r="F29" s="18">
        <f t="shared" ref="F29:N29" si="8">F$18*(F27/F$20)</f>
        <v>0.22916666666666666</v>
      </c>
      <c r="G29" s="18">
        <f t="shared" si="8"/>
        <v>0.31597222222222232</v>
      </c>
      <c r="H29" s="18">
        <f t="shared" si="8"/>
        <v>0.38831018518518501</v>
      </c>
      <c r="I29" s="18">
        <f t="shared" si="8"/>
        <v>0.44859182098765443</v>
      </c>
      <c r="J29" s="18">
        <f t="shared" si="8"/>
        <v>0.49882651748971141</v>
      </c>
      <c r="K29" s="18">
        <f t="shared" si="8"/>
        <v>0.54068876457476023</v>
      </c>
      <c r="L29" s="18">
        <f t="shared" si="8"/>
        <v>0.57557397047896697</v>
      </c>
      <c r="M29" s="18">
        <f t="shared" si="8"/>
        <v>0.60464497539914008</v>
      </c>
      <c r="N29" s="18">
        <f t="shared" si="8"/>
        <v>0.62887081283261481</v>
      </c>
    </row>
    <row r="30" spans="1:18" ht="15" customHeight="1" x14ac:dyDescent="0.45">
      <c r="B30" s="114"/>
      <c r="C30" s="116"/>
      <c r="D30" s="21" t="s">
        <v>59</v>
      </c>
      <c r="E30" s="22">
        <f>10*E27</f>
        <v>1.25</v>
      </c>
      <c r="F30" s="22">
        <f t="shared" ref="F30:N30" si="9">10*F27</f>
        <v>1.0416666666666667</v>
      </c>
      <c r="G30" s="22">
        <f t="shared" si="9"/>
        <v>0.86805555555555558</v>
      </c>
      <c r="H30" s="22">
        <f t="shared" si="9"/>
        <v>0.72337962962962965</v>
      </c>
      <c r="I30" s="22">
        <f t="shared" si="9"/>
        <v>0.60281635802469136</v>
      </c>
      <c r="J30" s="22">
        <f t="shared" si="9"/>
        <v>0.50234696502057608</v>
      </c>
      <c r="K30" s="22">
        <f t="shared" si="9"/>
        <v>0.4186224708504801</v>
      </c>
      <c r="L30" s="22">
        <f t="shared" si="9"/>
        <v>0.34885205904206679</v>
      </c>
      <c r="M30" s="22">
        <f t="shared" si="9"/>
        <v>0.29071004920172233</v>
      </c>
      <c r="N30" s="22">
        <f t="shared" si="9"/>
        <v>0.2422583743347686</v>
      </c>
      <c r="R30" s="13"/>
    </row>
    <row r="31" spans="1:18" ht="15" customHeight="1" x14ac:dyDescent="0.45">
      <c r="B31" s="114"/>
      <c r="C31" s="116"/>
      <c r="D31" s="21" t="s">
        <v>60</v>
      </c>
      <c r="E31" s="22">
        <f>10*E29</f>
        <v>1.25</v>
      </c>
      <c r="F31" s="22">
        <f>10*F29</f>
        <v>2.2916666666666665</v>
      </c>
      <c r="G31" s="22">
        <f>10*G29</f>
        <v>3.1597222222222232</v>
      </c>
      <c r="H31" s="22">
        <f t="shared" ref="H31:N31" si="10">10*H29</f>
        <v>3.8831018518518503</v>
      </c>
      <c r="I31" s="22">
        <f t="shared" si="10"/>
        <v>4.4859182098765444</v>
      </c>
      <c r="J31" s="22">
        <f t="shared" si="10"/>
        <v>4.9882651748971139</v>
      </c>
      <c r="K31" s="22">
        <f t="shared" si="10"/>
        <v>5.4068876457476023</v>
      </c>
      <c r="L31" s="22">
        <f t="shared" si="10"/>
        <v>5.7557397047896695</v>
      </c>
      <c r="M31" s="22">
        <f t="shared" si="10"/>
        <v>6.0464497539914008</v>
      </c>
      <c r="N31" s="22">
        <f t="shared" si="10"/>
        <v>6.2887081283261477</v>
      </c>
      <c r="R31" s="13"/>
    </row>
    <row r="32" spans="1:18" ht="15" customHeight="1" x14ac:dyDescent="0.45">
      <c r="B32" s="114"/>
      <c r="C32" s="117" t="s">
        <v>45</v>
      </c>
      <c r="D32" s="17" t="s">
        <v>55</v>
      </c>
      <c r="E32" s="18">
        <f>$D$25</f>
        <v>0.15</v>
      </c>
      <c r="F32" s="18">
        <f t="shared" ref="F32:N32" si="11">$D$25</f>
        <v>0.15</v>
      </c>
      <c r="G32" s="18">
        <f t="shared" si="11"/>
        <v>0.15</v>
      </c>
      <c r="H32" s="18">
        <f t="shared" si="11"/>
        <v>0.15</v>
      </c>
      <c r="I32" s="18">
        <f t="shared" si="11"/>
        <v>0.15</v>
      </c>
      <c r="J32" s="18">
        <f t="shared" si="11"/>
        <v>0.15</v>
      </c>
      <c r="K32" s="18">
        <f t="shared" si="11"/>
        <v>0.15</v>
      </c>
      <c r="L32" s="18">
        <f t="shared" si="11"/>
        <v>0.15</v>
      </c>
      <c r="M32" s="18">
        <f t="shared" si="11"/>
        <v>0.15</v>
      </c>
      <c r="N32" s="18">
        <f t="shared" si="11"/>
        <v>0.15</v>
      </c>
    </row>
    <row r="33" spans="1:18" ht="15" customHeight="1" x14ac:dyDescent="0.45">
      <c r="B33" s="114"/>
      <c r="C33" s="116"/>
      <c r="D33" s="21" t="s">
        <v>59</v>
      </c>
      <c r="E33" s="23">
        <f>E30*E$16</f>
        <v>150000</v>
      </c>
      <c r="F33" s="23">
        <f t="shared" ref="F33:N33" si="12">F30*F$16</f>
        <v>150000</v>
      </c>
      <c r="G33" s="23">
        <f t="shared" si="12"/>
        <v>150000</v>
      </c>
      <c r="H33" s="23">
        <f t="shared" si="12"/>
        <v>150000</v>
      </c>
      <c r="I33" s="23">
        <f t="shared" si="12"/>
        <v>150000</v>
      </c>
      <c r="J33" s="23">
        <f t="shared" si="12"/>
        <v>150000</v>
      </c>
      <c r="K33" s="23">
        <f t="shared" si="12"/>
        <v>150000</v>
      </c>
      <c r="L33" s="23">
        <f t="shared" si="12"/>
        <v>150000</v>
      </c>
      <c r="M33" s="23">
        <f t="shared" si="12"/>
        <v>150000</v>
      </c>
      <c r="N33" s="23">
        <f t="shared" si="12"/>
        <v>150000</v>
      </c>
    </row>
    <row r="34" spans="1:18" ht="15" customHeight="1" x14ac:dyDescent="0.45">
      <c r="B34" s="114"/>
      <c r="C34" s="116"/>
      <c r="D34" s="21" t="s">
        <v>60</v>
      </c>
      <c r="E34" s="23">
        <f>E33</f>
        <v>150000</v>
      </c>
      <c r="F34" s="23">
        <f>E34+F33</f>
        <v>300000</v>
      </c>
      <c r="G34" s="23">
        <f t="shared" ref="G34:N34" si="13">F34+G33</f>
        <v>450000</v>
      </c>
      <c r="H34" s="23">
        <f t="shared" si="13"/>
        <v>600000</v>
      </c>
      <c r="I34" s="23">
        <f t="shared" si="13"/>
        <v>750000</v>
      </c>
      <c r="J34" s="23">
        <f t="shared" si="13"/>
        <v>900000</v>
      </c>
      <c r="K34" s="23">
        <f t="shared" si="13"/>
        <v>1050000</v>
      </c>
      <c r="L34" s="23">
        <f t="shared" si="13"/>
        <v>1200000</v>
      </c>
      <c r="M34" s="23">
        <f t="shared" si="13"/>
        <v>1350000</v>
      </c>
      <c r="N34" s="23">
        <f t="shared" si="13"/>
        <v>1500000</v>
      </c>
    </row>
    <row r="35" spans="1:18" ht="15" customHeight="1" x14ac:dyDescent="0.45">
      <c r="B35" s="114"/>
      <c r="C35" s="117" t="s">
        <v>44</v>
      </c>
      <c r="D35" s="17" t="s">
        <v>55</v>
      </c>
      <c r="E35" s="18">
        <f>E29*E$16/$E$4</f>
        <v>0.15</v>
      </c>
      <c r="F35" s="18">
        <f>F29*F$16/$E$4-E35</f>
        <v>0.18000000000000002</v>
      </c>
      <c r="G35" s="18">
        <f>G29*G$16/$E$4-F35-E35</f>
        <v>0.21600000000000011</v>
      </c>
      <c r="H35" s="18">
        <f>H29*H$16/$E$4-G35-F35-E35</f>
        <v>0.25919999999999943</v>
      </c>
      <c r="I35" s="18">
        <f>I29*I$16/$E$4-H35-G35-F35-E35</f>
        <v>0.31104000000000076</v>
      </c>
      <c r="J35" s="18">
        <f>J29*J$16/$E$4-I35-H35-G35-F35-E35</f>
        <v>0.37324799999999814</v>
      </c>
      <c r="K35" s="18">
        <f>K29*K$16/$E$4-J35-I35-H35-G35-F35-E35</f>
        <v>0.44789760000000289</v>
      </c>
      <c r="L35" s="18">
        <f>L29*L$16/$E$4-K35-J35-I35-H35-G35-F35-E35</f>
        <v>0.53747712000000025</v>
      </c>
      <c r="M35" s="18">
        <f>M29*M$16/$E$4-L35-K35-J35-I35-H35-G35-F35-E35</f>
        <v>0.64497254400000481</v>
      </c>
      <c r="N35" s="18">
        <f>N29*N$16/$E$4-M35-L35-K35-J35-I35-H35-G35-F35-E35</f>
        <v>0.77396705279998823</v>
      </c>
      <c r="R35" s="16"/>
    </row>
    <row r="36" spans="1:18" ht="15" customHeight="1" x14ac:dyDescent="0.45">
      <c r="B36" s="114"/>
      <c r="C36" s="115"/>
      <c r="D36" s="17" t="s">
        <v>56</v>
      </c>
      <c r="E36" s="19"/>
      <c r="F36" s="19"/>
      <c r="G36" s="19"/>
      <c r="H36" s="19"/>
      <c r="I36" s="44">
        <f>SUM(E35:I35)/5</f>
        <v>0.22324800000000006</v>
      </c>
      <c r="J36" s="19"/>
      <c r="K36" s="19"/>
      <c r="L36" s="19"/>
      <c r="M36" s="19"/>
      <c r="N36" s="19">
        <f>SUM(E35:N35)/10</f>
        <v>0.38938023167999941</v>
      </c>
    </row>
    <row r="37" spans="1:18" ht="15" customHeight="1" x14ac:dyDescent="0.45">
      <c r="B37" s="114"/>
      <c r="C37" s="116"/>
      <c r="D37" s="21" t="s">
        <v>59</v>
      </c>
      <c r="E37" s="24">
        <f>E39</f>
        <v>150000</v>
      </c>
      <c r="F37" s="24">
        <f>F39-E39</f>
        <v>180000</v>
      </c>
      <c r="G37" s="24">
        <f t="shared" ref="G37:N37" si="14">G39-F39</f>
        <v>216000.00000000012</v>
      </c>
      <c r="H37" s="24">
        <f t="shared" si="14"/>
        <v>259199.99999999953</v>
      </c>
      <c r="I37" s="24">
        <f t="shared" si="14"/>
        <v>311040.00000000058</v>
      </c>
      <c r="J37" s="24">
        <f t="shared" si="14"/>
        <v>373247.99999999814</v>
      </c>
      <c r="K37" s="24">
        <f t="shared" si="14"/>
        <v>447897.60000000265</v>
      </c>
      <c r="L37" s="24">
        <f t="shared" si="14"/>
        <v>537477.12000000058</v>
      </c>
      <c r="M37" s="24">
        <f t="shared" si="14"/>
        <v>644972.54400000488</v>
      </c>
      <c r="N37" s="24">
        <f t="shared" si="14"/>
        <v>773967.05279998761</v>
      </c>
    </row>
    <row r="38" spans="1:18" ht="15" customHeight="1" x14ac:dyDescent="0.45">
      <c r="B38" s="114"/>
      <c r="C38" s="116"/>
      <c r="D38" s="21" t="s">
        <v>61</v>
      </c>
      <c r="E38" s="24"/>
      <c r="F38" s="24"/>
      <c r="G38" s="24"/>
      <c r="H38" s="24"/>
      <c r="I38" s="24">
        <f>SUM(E37:I37)/5</f>
        <v>223248.00000000006</v>
      </c>
      <c r="J38" s="24"/>
      <c r="K38" s="24"/>
      <c r="L38" s="24"/>
      <c r="M38" s="24"/>
      <c r="N38" s="24">
        <f>SUM(E37:N37)/10</f>
        <v>389380.23167999939</v>
      </c>
    </row>
    <row r="39" spans="1:18" ht="15" customHeight="1" x14ac:dyDescent="0.45">
      <c r="B39" s="108"/>
      <c r="C39" s="116"/>
      <c r="D39" s="21" t="s">
        <v>60</v>
      </c>
      <c r="E39" s="23">
        <f t="shared" ref="E39:N39" si="15">E31*E$16</f>
        <v>150000</v>
      </c>
      <c r="F39" s="23">
        <f t="shared" si="15"/>
        <v>330000</v>
      </c>
      <c r="G39" s="23">
        <f t="shared" si="15"/>
        <v>546000.00000000012</v>
      </c>
      <c r="H39" s="23">
        <f t="shared" si="15"/>
        <v>805199.99999999965</v>
      </c>
      <c r="I39" s="23">
        <f t="shared" si="15"/>
        <v>1116240.0000000002</v>
      </c>
      <c r="J39" s="23">
        <f t="shared" si="15"/>
        <v>1489487.9999999984</v>
      </c>
      <c r="K39" s="23">
        <f t="shared" si="15"/>
        <v>1937385.600000001</v>
      </c>
      <c r="L39" s="23">
        <f t="shared" si="15"/>
        <v>2474862.7200000016</v>
      </c>
      <c r="M39" s="23">
        <f t="shared" si="15"/>
        <v>3119835.2640000065</v>
      </c>
      <c r="N39" s="23">
        <f t="shared" si="15"/>
        <v>3893802.3167999941</v>
      </c>
    </row>
    <row r="40" spans="1:18" ht="15" customHeight="1" x14ac:dyDescent="0.45">
      <c r="A40" s="9"/>
      <c r="B40" s="4"/>
      <c r="C40" s="1"/>
      <c r="D40" s="53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9"/>
    </row>
    <row r="41" spans="1:18" ht="15" customHeight="1" x14ac:dyDescent="0.45">
      <c r="B41" s="118" t="s">
        <v>38</v>
      </c>
      <c r="C41" s="56" t="s">
        <v>33</v>
      </c>
      <c r="D41" s="57">
        <f>E8</f>
        <v>0.8</v>
      </c>
      <c r="E41" s="90" t="s">
        <v>3</v>
      </c>
      <c r="F41" s="90" t="s">
        <v>4</v>
      </c>
      <c r="G41" s="90" t="s">
        <v>5</v>
      </c>
      <c r="H41" s="90" t="s">
        <v>6</v>
      </c>
      <c r="I41" s="90" t="s">
        <v>7</v>
      </c>
      <c r="J41" s="90" t="s">
        <v>8</v>
      </c>
      <c r="K41" s="90" t="s">
        <v>9</v>
      </c>
      <c r="L41" s="90" t="s">
        <v>10</v>
      </c>
      <c r="M41" s="90" t="s">
        <v>11</v>
      </c>
      <c r="N41" s="90" t="s">
        <v>12</v>
      </c>
    </row>
    <row r="42" spans="1:18" ht="15" customHeight="1" x14ac:dyDescent="0.45">
      <c r="B42" s="119"/>
      <c r="C42" s="46" t="s">
        <v>21</v>
      </c>
      <c r="D42" s="34" t="str">
        <f>"10 BTC / "&amp;TEXT($E$4*10, "$###0.00,,")&amp;"M USD"</f>
        <v>10 BTC / $1.00M USD</v>
      </c>
      <c r="E42" s="91"/>
      <c r="F42" s="91"/>
      <c r="G42" s="91"/>
      <c r="H42" s="91"/>
      <c r="I42" s="91"/>
      <c r="J42" s="91"/>
      <c r="K42" s="91"/>
      <c r="L42" s="91"/>
      <c r="M42" s="91"/>
      <c r="N42" s="91"/>
    </row>
    <row r="43" spans="1:18" ht="15" customHeight="1" x14ac:dyDescent="0.45">
      <c r="B43" s="116" t="s">
        <v>16</v>
      </c>
      <c r="C43" s="115" t="s">
        <v>41</v>
      </c>
      <c r="D43" s="17" t="s">
        <v>55</v>
      </c>
      <c r="E43" s="18">
        <f>E$20*$D41-E27</f>
        <v>8.3333333333333315E-3</v>
      </c>
      <c r="F43" s="18">
        <f t="shared" ref="F43:N43" si="16">F$20*$D41-F27</f>
        <v>6.9444444444444753E-3</v>
      </c>
      <c r="G43" s="18">
        <f t="shared" si="16"/>
        <v>5.7870370370370072E-3</v>
      </c>
      <c r="H43" s="18">
        <f t="shared" si="16"/>
        <v>4.8225308641975662E-3</v>
      </c>
      <c r="I43" s="18">
        <f t="shared" si="16"/>
        <v>4.0187757201645968E-3</v>
      </c>
      <c r="J43" s="18">
        <f t="shared" si="16"/>
        <v>3.348979766803907E-3</v>
      </c>
      <c r="K43" s="18">
        <f t="shared" si="16"/>
        <v>2.7908164723365117E-3</v>
      </c>
      <c r="L43" s="18">
        <f t="shared" si="16"/>
        <v>2.3256803936137563E-3</v>
      </c>
      <c r="M43" s="18">
        <f t="shared" si="16"/>
        <v>1.9380669946780886E-3</v>
      </c>
      <c r="N43" s="18">
        <f t="shared" si="16"/>
        <v>1.6150558288984956E-3</v>
      </c>
      <c r="R43" s="13"/>
    </row>
    <row r="44" spans="1:18" ht="15" customHeight="1" x14ac:dyDescent="0.45">
      <c r="B44" s="116"/>
      <c r="C44" s="115"/>
      <c r="D44" s="17" t="s">
        <v>56</v>
      </c>
      <c r="E44" s="18"/>
      <c r="F44" s="18"/>
      <c r="G44" s="18"/>
      <c r="H44" s="18"/>
      <c r="I44" s="44">
        <f>SUM(E43:I43)/5</f>
        <v>5.9812242798353956E-3</v>
      </c>
      <c r="J44" s="18"/>
      <c r="K44" s="18"/>
      <c r="L44" s="18"/>
      <c r="M44" s="18"/>
      <c r="N44" s="19">
        <f>SUM(E43:N43)/10</f>
        <v>4.1924720855507731E-3</v>
      </c>
      <c r="R44" s="13"/>
    </row>
    <row r="45" spans="1:18" ht="15" customHeight="1" x14ac:dyDescent="0.45">
      <c r="B45" s="116"/>
      <c r="C45" s="115"/>
      <c r="D45" s="17" t="s">
        <v>53</v>
      </c>
      <c r="E45" s="18">
        <f>E$18*(E43/E$20)</f>
        <v>8.3333333333333315E-3</v>
      </c>
      <c r="F45" s="18">
        <f>F$18*(F43/F$20)</f>
        <v>1.5277777777777843E-2</v>
      </c>
      <c r="G45" s="18">
        <f t="shared" ref="G45:N45" si="17">G$18*(G43/G$20)</f>
        <v>2.1064814814814713E-2</v>
      </c>
      <c r="H45" s="18">
        <f t="shared" si="17"/>
        <v>2.5887345679012526E-2</v>
      </c>
      <c r="I45" s="18">
        <f t="shared" si="17"/>
        <v>2.9906121399176873E-2</v>
      </c>
      <c r="J45" s="18">
        <f t="shared" si="17"/>
        <v>3.3255101165981418E-2</v>
      </c>
      <c r="K45" s="18">
        <f t="shared" si="17"/>
        <v>3.6045917638317063E-2</v>
      </c>
      <c r="L45" s="18">
        <f t="shared" si="17"/>
        <v>3.8371598031930763E-2</v>
      </c>
      <c r="M45" s="18">
        <f t="shared" si="17"/>
        <v>4.0309665026608085E-2</v>
      </c>
      <c r="N45" s="18">
        <f t="shared" si="17"/>
        <v>4.1924720855508656E-2</v>
      </c>
    </row>
    <row r="46" spans="1:18" ht="15" customHeight="1" x14ac:dyDescent="0.45">
      <c r="B46" s="116"/>
      <c r="C46" s="116"/>
      <c r="D46" s="21" t="s">
        <v>59</v>
      </c>
      <c r="E46" s="22">
        <f>10*E43</f>
        <v>8.3333333333333315E-2</v>
      </c>
      <c r="F46" s="22">
        <f t="shared" ref="F46:N46" si="18">10*F43</f>
        <v>6.9444444444444753E-2</v>
      </c>
      <c r="G46" s="22">
        <f t="shared" si="18"/>
        <v>5.7870370370370072E-2</v>
      </c>
      <c r="H46" s="22">
        <f t="shared" si="18"/>
        <v>4.8225308641975662E-2</v>
      </c>
      <c r="I46" s="22">
        <f t="shared" si="18"/>
        <v>4.0187757201645968E-2</v>
      </c>
      <c r="J46" s="22">
        <f t="shared" si="18"/>
        <v>3.348979766803907E-2</v>
      </c>
      <c r="K46" s="22">
        <f t="shared" si="18"/>
        <v>2.7908164723365117E-2</v>
      </c>
      <c r="L46" s="22">
        <f t="shared" si="18"/>
        <v>2.3256803936137563E-2</v>
      </c>
      <c r="M46" s="22">
        <f t="shared" si="18"/>
        <v>1.9380669946780886E-2</v>
      </c>
      <c r="N46" s="22">
        <f t="shared" si="18"/>
        <v>1.6150558288984956E-2</v>
      </c>
    </row>
    <row r="47" spans="1:18" ht="15" customHeight="1" x14ac:dyDescent="0.45">
      <c r="B47" s="116"/>
      <c r="C47" s="116"/>
      <c r="D47" s="21" t="s">
        <v>60</v>
      </c>
      <c r="E47" s="22">
        <f>10*E45</f>
        <v>8.3333333333333315E-2</v>
      </c>
      <c r="F47" s="22">
        <f>10*F45</f>
        <v>0.15277777777777843</v>
      </c>
      <c r="G47" s="22">
        <f>10*G45</f>
        <v>0.21064814814814714</v>
      </c>
      <c r="H47" s="22">
        <f t="shared" ref="H47:N47" si="19">10*H45</f>
        <v>0.25887345679012524</v>
      </c>
      <c r="I47" s="22">
        <f t="shared" si="19"/>
        <v>0.29906121399176872</v>
      </c>
      <c r="J47" s="22">
        <f t="shared" si="19"/>
        <v>0.33255101165981416</v>
      </c>
      <c r="K47" s="22">
        <f t="shared" si="19"/>
        <v>0.3604591763831706</v>
      </c>
      <c r="L47" s="22">
        <f t="shared" si="19"/>
        <v>0.38371598031930765</v>
      </c>
      <c r="M47" s="22">
        <f t="shared" si="19"/>
        <v>0.40309665026608088</v>
      </c>
      <c r="N47" s="22">
        <f t="shared" si="19"/>
        <v>0.41924720855508657</v>
      </c>
    </row>
    <row r="48" spans="1:18" ht="15" customHeight="1" x14ac:dyDescent="0.45">
      <c r="B48" s="116"/>
      <c r="C48" s="117" t="s">
        <v>45</v>
      </c>
      <c r="D48" s="17" t="s">
        <v>55</v>
      </c>
      <c r="E48" s="18">
        <f t="shared" ref="E48:N48" si="20">E43*E$16/$E$4</f>
        <v>9.9999999999999985E-3</v>
      </c>
      <c r="F48" s="18">
        <f t="shared" si="20"/>
        <v>1.0000000000000044E-2</v>
      </c>
      <c r="G48" s="18">
        <f t="shared" si="20"/>
        <v>9.9999999999999482E-3</v>
      </c>
      <c r="H48" s="18">
        <f t="shared" si="20"/>
        <v>1.0000000000000073E-2</v>
      </c>
      <c r="I48" s="18">
        <f t="shared" si="20"/>
        <v>9.999999999999969E-3</v>
      </c>
      <c r="J48" s="18">
        <f t="shared" si="20"/>
        <v>1.0000000000000198E-2</v>
      </c>
      <c r="K48" s="18">
        <f t="shared" si="20"/>
        <v>9.9999999999999204E-3</v>
      </c>
      <c r="L48" s="18">
        <f t="shared" si="20"/>
        <v>9.9999999999999048E-3</v>
      </c>
      <c r="M48" s="18">
        <f t="shared" si="20"/>
        <v>9.9999999999996897E-3</v>
      </c>
      <c r="N48" s="18">
        <f t="shared" si="20"/>
        <v>1.0000000000000238E-2</v>
      </c>
      <c r="R48" s="13"/>
    </row>
    <row r="49" spans="2:18" ht="15" customHeight="1" x14ac:dyDescent="0.45">
      <c r="B49" s="116"/>
      <c r="C49" s="116"/>
      <c r="D49" s="21" t="s">
        <v>59</v>
      </c>
      <c r="E49" s="23">
        <f t="shared" ref="E49:N49" si="21">E46*E$16</f>
        <v>9999.9999999999982</v>
      </c>
      <c r="F49" s="23">
        <f t="shared" si="21"/>
        <v>10000.000000000044</v>
      </c>
      <c r="G49" s="23">
        <f t="shared" si="21"/>
        <v>9999.9999999999491</v>
      </c>
      <c r="H49" s="23">
        <f t="shared" si="21"/>
        <v>10000.000000000073</v>
      </c>
      <c r="I49" s="23">
        <f t="shared" si="21"/>
        <v>9999.9999999999691</v>
      </c>
      <c r="J49" s="23">
        <f t="shared" si="21"/>
        <v>10000.000000000198</v>
      </c>
      <c r="K49" s="23">
        <f t="shared" si="21"/>
        <v>9999.99999999992</v>
      </c>
      <c r="L49" s="23">
        <f t="shared" si="21"/>
        <v>9999.9999999999054</v>
      </c>
      <c r="M49" s="23">
        <f t="shared" si="21"/>
        <v>9999.999999999689</v>
      </c>
      <c r="N49" s="23">
        <f t="shared" si="21"/>
        <v>10000.000000000236</v>
      </c>
      <c r="R49" s="13"/>
    </row>
    <row r="50" spans="2:18" ht="15" customHeight="1" x14ac:dyDescent="0.45">
      <c r="B50" s="116"/>
      <c r="C50" s="116"/>
      <c r="D50" s="21" t="s">
        <v>60</v>
      </c>
      <c r="E50" s="23">
        <f>E49</f>
        <v>9999.9999999999982</v>
      </c>
      <c r="F50" s="23">
        <f>E50+F49</f>
        <v>20000.000000000044</v>
      </c>
      <c r="G50" s="23">
        <f t="shared" ref="G50:N50" si="22">F50+G49</f>
        <v>29999.999999999993</v>
      </c>
      <c r="H50" s="23">
        <f t="shared" si="22"/>
        <v>40000.000000000065</v>
      </c>
      <c r="I50" s="23">
        <f t="shared" si="22"/>
        <v>50000.000000000036</v>
      </c>
      <c r="J50" s="23">
        <f t="shared" si="22"/>
        <v>60000.000000000233</v>
      </c>
      <c r="K50" s="23">
        <f t="shared" si="22"/>
        <v>70000.000000000146</v>
      </c>
      <c r="L50" s="23">
        <f t="shared" si="22"/>
        <v>80000.000000000058</v>
      </c>
      <c r="M50" s="23">
        <f t="shared" si="22"/>
        <v>89999.999999999753</v>
      </c>
      <c r="N50" s="23">
        <f t="shared" si="22"/>
        <v>99999.999999999985</v>
      </c>
      <c r="R50" s="13"/>
    </row>
    <row r="51" spans="2:18" ht="15" customHeight="1" x14ac:dyDescent="0.45">
      <c r="B51" s="116"/>
      <c r="C51" s="117" t="s">
        <v>44</v>
      </c>
      <c r="D51" s="17" t="s">
        <v>55</v>
      </c>
      <c r="E51" s="18">
        <f>E45*E$16/$E$4</f>
        <v>9.9999999999999985E-3</v>
      </c>
      <c r="F51" s="18">
        <f>F45*F$16/$E$4-E51</f>
        <v>1.2000000000000097E-2</v>
      </c>
      <c r="G51" s="18">
        <f>G45*G$16/$E$4-F51-E51</f>
        <v>1.4399999999999726E-2</v>
      </c>
      <c r="H51" s="18">
        <f>H45*H$16/$E$4-G51-F51-E51</f>
        <v>1.7280000000000552E-2</v>
      </c>
      <c r="I51" s="18">
        <f>I45*I$16/$E$4-H51-G51-F51-E51</f>
        <v>2.0735999999999415E-2</v>
      </c>
      <c r="J51" s="18">
        <f>J45*J$16/$E$4-I51-H51-G51-F51-E51</f>
        <v>2.48832000000021E-2</v>
      </c>
      <c r="K51" s="18">
        <f>K45*K$16/$E$4-J51-I51-H51-G51-F51-E51</f>
        <v>2.9859839999997136E-2</v>
      </c>
      <c r="L51" s="18">
        <f>L45*L$16/$E$4-K51-J51-I51-H51-G51-F51-E51</f>
        <v>3.5831807999999493E-2</v>
      </c>
      <c r="M51" s="18">
        <f>M45*M$16/$E$4-L51-K51-J51-I51-H51-G51-F51-E51</f>
        <v>4.2998169599995431E-2</v>
      </c>
      <c r="N51" s="18">
        <f>N45*N$16/$E$4-M51-L51-K51-J51-I51-H51-G51-F51-E51</f>
        <v>5.1597803520011878E-2</v>
      </c>
      <c r="R51" s="13"/>
    </row>
    <row r="52" spans="2:18" ht="15" customHeight="1" x14ac:dyDescent="0.45">
      <c r="B52" s="116"/>
      <c r="C52" s="115"/>
      <c r="D52" s="17" t="s">
        <v>56</v>
      </c>
      <c r="E52" s="19"/>
      <c r="F52" s="19"/>
      <c r="G52" s="19"/>
      <c r="H52" s="19"/>
      <c r="I52" s="19">
        <f>SUM(E51:I51)/5</f>
        <v>1.4883199999999958E-2</v>
      </c>
      <c r="J52" s="19"/>
      <c r="K52" s="19"/>
      <c r="L52" s="19"/>
      <c r="M52" s="19"/>
      <c r="N52" s="19">
        <f>SUM(E51:N51)/10</f>
        <v>2.5958682112000579E-2</v>
      </c>
      <c r="R52" s="13"/>
    </row>
    <row r="53" spans="2:18" ht="15" customHeight="1" x14ac:dyDescent="0.45">
      <c r="B53" s="116"/>
      <c r="C53" s="116"/>
      <c r="D53" s="21" t="s">
        <v>59</v>
      </c>
      <c r="E53" s="24">
        <f>E55</f>
        <v>9999.9999999999982</v>
      </c>
      <c r="F53" s="24">
        <f>F55-E55</f>
        <v>12000.000000000096</v>
      </c>
      <c r="G53" s="24">
        <f t="shared" ref="G53:N53" si="23">G55-F55</f>
        <v>14399.999999999731</v>
      </c>
      <c r="H53" s="24">
        <f t="shared" si="23"/>
        <v>17280.000000000546</v>
      </c>
      <c r="I53" s="24">
        <f t="shared" si="23"/>
        <v>20735.999999999425</v>
      </c>
      <c r="J53" s="24">
        <f t="shared" si="23"/>
        <v>24883.200000002063</v>
      </c>
      <c r="K53" s="24">
        <f t="shared" si="23"/>
        <v>29859.839999997173</v>
      </c>
      <c r="L53" s="24">
        <f t="shared" si="23"/>
        <v>35831.807999999481</v>
      </c>
      <c r="M53" s="24">
        <f t="shared" si="23"/>
        <v>42998.169599995454</v>
      </c>
      <c r="N53" s="24">
        <f t="shared" si="23"/>
        <v>51597.803520011861</v>
      </c>
      <c r="R53" s="13"/>
    </row>
    <row r="54" spans="2:18" ht="15" customHeight="1" x14ac:dyDescent="0.45">
      <c r="B54" s="116"/>
      <c r="C54" s="116"/>
      <c r="D54" s="21" t="s">
        <v>61</v>
      </c>
      <c r="E54" s="24"/>
      <c r="F54" s="24"/>
      <c r="G54" s="24"/>
      <c r="H54" s="24"/>
      <c r="I54" s="24">
        <f>SUM(E53:I53)/5</f>
        <v>14883.199999999959</v>
      </c>
      <c r="J54" s="24"/>
      <c r="K54" s="24"/>
      <c r="L54" s="24"/>
      <c r="M54" s="24"/>
      <c r="N54" s="24">
        <f>SUM(E53:N53)/10</f>
        <v>25958.682112000584</v>
      </c>
      <c r="R54" s="13"/>
    </row>
    <row r="55" spans="2:18" ht="15" customHeight="1" x14ac:dyDescent="0.45">
      <c r="B55" s="116"/>
      <c r="C55" s="116"/>
      <c r="D55" s="21" t="s">
        <v>60</v>
      </c>
      <c r="E55" s="23">
        <f t="shared" ref="E55:N55" si="24">E47*E$16</f>
        <v>9999.9999999999982</v>
      </c>
      <c r="F55" s="23">
        <f t="shared" si="24"/>
        <v>22000.000000000095</v>
      </c>
      <c r="G55" s="23">
        <f t="shared" si="24"/>
        <v>36399.999999999825</v>
      </c>
      <c r="H55" s="23">
        <f t="shared" si="24"/>
        <v>53680.000000000371</v>
      </c>
      <c r="I55" s="23">
        <f t="shared" si="24"/>
        <v>74415.999999999796</v>
      </c>
      <c r="J55" s="23">
        <f t="shared" si="24"/>
        <v>99299.20000000186</v>
      </c>
      <c r="K55" s="23">
        <f t="shared" si="24"/>
        <v>129159.03999999903</v>
      </c>
      <c r="L55" s="23">
        <f t="shared" si="24"/>
        <v>164990.84799999851</v>
      </c>
      <c r="M55" s="23">
        <f t="shared" si="24"/>
        <v>207989.01759999397</v>
      </c>
      <c r="N55" s="23">
        <f t="shared" si="24"/>
        <v>259586.82112000583</v>
      </c>
      <c r="R55" s="13"/>
    </row>
    <row r="56" spans="2:18" ht="15" customHeight="1" x14ac:dyDescent="0.45">
      <c r="B56" s="116" t="s">
        <v>17</v>
      </c>
      <c r="C56" s="115" t="s">
        <v>41</v>
      </c>
      <c r="D56" s="17" t="s">
        <v>55</v>
      </c>
      <c r="E56" s="18">
        <f>E$22*$D41</f>
        <v>1.6E-2</v>
      </c>
      <c r="F56" s="18">
        <f t="shared" ref="F56:N56" si="25">F$22*$D41</f>
        <v>1.6E-2</v>
      </c>
      <c r="G56" s="18">
        <f t="shared" si="25"/>
        <v>1.6E-2</v>
      </c>
      <c r="H56" s="18">
        <f t="shared" si="25"/>
        <v>1.6E-2</v>
      </c>
      <c r="I56" s="135">
        <f t="shared" si="25"/>
        <v>1.6E-2</v>
      </c>
      <c r="J56" s="18">
        <f t="shared" si="25"/>
        <v>1.6E-2</v>
      </c>
      <c r="K56" s="18">
        <f t="shared" si="25"/>
        <v>1.6E-2</v>
      </c>
      <c r="L56" s="18">
        <f t="shared" si="25"/>
        <v>1.6E-2</v>
      </c>
      <c r="M56" s="18">
        <f t="shared" si="25"/>
        <v>1.6E-2</v>
      </c>
      <c r="N56" s="18">
        <f t="shared" si="25"/>
        <v>1.6E-2</v>
      </c>
      <c r="R56" s="13"/>
    </row>
    <row r="57" spans="2:18" ht="15" customHeight="1" x14ac:dyDescent="0.45">
      <c r="B57" s="116"/>
      <c r="C57" s="115"/>
      <c r="D57" s="17" t="s">
        <v>53</v>
      </c>
      <c r="E57" s="18">
        <f>E$23*$D41</f>
        <v>1.6E-2</v>
      </c>
      <c r="F57" s="18">
        <f>F$23*$D41</f>
        <v>3.2000000000000001E-2</v>
      </c>
      <c r="G57" s="18">
        <f>G$23*$D41</f>
        <v>4.8000000000000001E-2</v>
      </c>
      <c r="H57" s="18">
        <f t="shared" ref="F57:N57" si="26">H$23*$D41</f>
        <v>6.4000000000000001E-2</v>
      </c>
      <c r="I57" s="18">
        <f t="shared" si="26"/>
        <v>8.0000000000000016E-2</v>
      </c>
      <c r="J57" s="18">
        <f t="shared" si="26"/>
        <v>9.6000000000000016E-2</v>
      </c>
      <c r="K57" s="18">
        <f t="shared" si="26"/>
        <v>0.11200000000000002</v>
      </c>
      <c r="L57" s="18">
        <f t="shared" si="26"/>
        <v>0.128</v>
      </c>
      <c r="M57" s="18">
        <f t="shared" si="26"/>
        <v>0.14399999999999999</v>
      </c>
      <c r="N57" s="18">
        <f t="shared" si="26"/>
        <v>0.16</v>
      </c>
      <c r="R57" s="13"/>
    </row>
    <row r="58" spans="2:18" ht="15" customHeight="1" x14ac:dyDescent="0.45">
      <c r="B58" s="116"/>
      <c r="C58" s="116"/>
      <c r="D58" s="21" t="s">
        <v>59</v>
      </c>
      <c r="E58" s="22">
        <f>10*E56</f>
        <v>0.16</v>
      </c>
      <c r="F58" s="22">
        <f t="shared" ref="F58:N59" si="27">10*F56</f>
        <v>0.16</v>
      </c>
      <c r="G58" s="22">
        <f t="shared" si="27"/>
        <v>0.16</v>
      </c>
      <c r="H58" s="22">
        <f t="shared" si="27"/>
        <v>0.16</v>
      </c>
      <c r="I58" s="22">
        <f t="shared" si="27"/>
        <v>0.16</v>
      </c>
      <c r="J58" s="22">
        <f t="shared" si="27"/>
        <v>0.16</v>
      </c>
      <c r="K58" s="22">
        <f t="shared" si="27"/>
        <v>0.16</v>
      </c>
      <c r="L58" s="22">
        <f t="shared" si="27"/>
        <v>0.16</v>
      </c>
      <c r="M58" s="22">
        <f t="shared" si="27"/>
        <v>0.16</v>
      </c>
      <c r="N58" s="22">
        <f t="shared" si="27"/>
        <v>0.16</v>
      </c>
      <c r="R58" s="13"/>
    </row>
    <row r="59" spans="2:18" ht="15" customHeight="1" x14ac:dyDescent="0.45">
      <c r="B59" s="116"/>
      <c r="C59" s="116"/>
      <c r="D59" s="21" t="s">
        <v>60</v>
      </c>
      <c r="E59" s="22">
        <f>10*E57</f>
        <v>0.16</v>
      </c>
      <c r="F59" s="22">
        <f t="shared" si="27"/>
        <v>0.32</v>
      </c>
      <c r="G59" s="22">
        <f t="shared" si="27"/>
        <v>0.48</v>
      </c>
      <c r="H59" s="22">
        <f t="shared" si="27"/>
        <v>0.64</v>
      </c>
      <c r="I59" s="22">
        <f t="shared" si="27"/>
        <v>0.80000000000000016</v>
      </c>
      <c r="J59" s="22">
        <f t="shared" si="27"/>
        <v>0.96000000000000019</v>
      </c>
      <c r="K59" s="22">
        <f t="shared" si="27"/>
        <v>1.1200000000000001</v>
      </c>
      <c r="L59" s="22">
        <f t="shared" si="27"/>
        <v>1.28</v>
      </c>
      <c r="M59" s="22">
        <f t="shared" si="27"/>
        <v>1.44</v>
      </c>
      <c r="N59" s="22">
        <f t="shared" si="27"/>
        <v>1.6</v>
      </c>
    </row>
    <row r="60" spans="2:18" ht="15" customHeight="1" x14ac:dyDescent="0.45">
      <c r="B60" s="116"/>
      <c r="C60" s="117" t="s">
        <v>45</v>
      </c>
      <c r="D60" s="17" t="s">
        <v>55</v>
      </c>
      <c r="E60" s="18">
        <f>E56*E$16/$E$4</f>
        <v>1.9199999999999998E-2</v>
      </c>
      <c r="F60" s="18">
        <f t="shared" ref="F60:N60" si="28">F56*F$16/$E$4</f>
        <v>2.3040000000000001E-2</v>
      </c>
      <c r="G60" s="18">
        <f t="shared" si="28"/>
        <v>2.7648000000000002E-2</v>
      </c>
      <c r="H60" s="18">
        <f t="shared" si="28"/>
        <v>3.3177600000000002E-2</v>
      </c>
      <c r="I60" s="18">
        <f t="shared" si="28"/>
        <v>3.981312E-2</v>
      </c>
      <c r="J60" s="18">
        <f t="shared" si="28"/>
        <v>4.7775744000000002E-2</v>
      </c>
      <c r="K60" s="18">
        <f t="shared" si="28"/>
        <v>5.7330892799999998E-2</v>
      </c>
      <c r="L60" s="18">
        <f t="shared" si="28"/>
        <v>6.8797071360000003E-2</v>
      </c>
      <c r="M60" s="18">
        <f t="shared" si="28"/>
        <v>8.2556485632000007E-2</v>
      </c>
      <c r="N60" s="18">
        <f t="shared" si="28"/>
        <v>9.9067782758399989E-2</v>
      </c>
    </row>
    <row r="61" spans="2:18" ht="15" customHeight="1" x14ac:dyDescent="0.45">
      <c r="B61" s="116"/>
      <c r="C61" s="115"/>
      <c r="D61" s="17" t="s">
        <v>56</v>
      </c>
      <c r="E61" s="18"/>
      <c r="F61" s="18"/>
      <c r="G61" s="18"/>
      <c r="H61" s="18"/>
      <c r="I61" s="19">
        <f>SUM(E60:I60)/5</f>
        <v>2.8575744000000004E-2</v>
      </c>
      <c r="J61" s="19"/>
      <c r="K61" s="19"/>
      <c r="L61" s="19"/>
      <c r="M61" s="19"/>
      <c r="N61" s="19">
        <f>SUM(E60:N60)/10</f>
        <v>4.9840669655040006E-2</v>
      </c>
    </row>
    <row r="62" spans="2:18" ht="15" customHeight="1" x14ac:dyDescent="0.45">
      <c r="B62" s="116"/>
      <c r="C62" s="116"/>
      <c r="D62" s="21" t="s">
        <v>59</v>
      </c>
      <c r="E62" s="25">
        <f t="shared" ref="E62:N62" si="29">E58*E$16</f>
        <v>19200</v>
      </c>
      <c r="F62" s="25">
        <f t="shared" si="29"/>
        <v>23040</v>
      </c>
      <c r="G62" s="25">
        <f t="shared" si="29"/>
        <v>27648</v>
      </c>
      <c r="H62" s="25">
        <f t="shared" si="29"/>
        <v>33177.599999999999</v>
      </c>
      <c r="I62" s="25">
        <f t="shared" si="29"/>
        <v>39813.120000000003</v>
      </c>
      <c r="J62" s="25">
        <f t="shared" si="29"/>
        <v>47775.744000000006</v>
      </c>
      <c r="K62" s="25">
        <f t="shared" si="29"/>
        <v>57330.892800000001</v>
      </c>
      <c r="L62" s="25">
        <f t="shared" si="29"/>
        <v>68797.071360000002</v>
      </c>
      <c r="M62" s="25">
        <f t="shared" si="29"/>
        <v>82556.485631999996</v>
      </c>
      <c r="N62" s="25">
        <f t="shared" si="29"/>
        <v>99067.78275839999</v>
      </c>
    </row>
    <row r="63" spans="2:18" ht="15" customHeight="1" x14ac:dyDescent="0.45">
      <c r="B63" s="116"/>
      <c r="C63" s="116"/>
      <c r="D63" s="21" t="s">
        <v>61</v>
      </c>
      <c r="E63" s="26"/>
      <c r="F63" s="26"/>
      <c r="G63" s="26"/>
      <c r="H63" s="26"/>
      <c r="I63" s="25">
        <f>SUM(E62:I62)/5</f>
        <v>28575.743999999999</v>
      </c>
      <c r="J63" s="25"/>
      <c r="K63" s="25"/>
      <c r="L63" s="25"/>
      <c r="M63" s="25"/>
      <c r="N63" s="25">
        <f>SUM(E62:N62)/10</f>
        <v>49840.669655040001</v>
      </c>
    </row>
    <row r="64" spans="2:18" ht="15" customHeight="1" x14ac:dyDescent="0.45">
      <c r="B64" s="116"/>
      <c r="C64" s="116"/>
      <c r="D64" s="21" t="s">
        <v>60</v>
      </c>
      <c r="E64" s="26">
        <f>E62</f>
        <v>19200</v>
      </c>
      <c r="F64" s="26">
        <f t="shared" ref="F64:N64" si="30">E64+F62</f>
        <v>42240</v>
      </c>
      <c r="G64" s="26">
        <f t="shared" si="30"/>
        <v>69888</v>
      </c>
      <c r="H64" s="26">
        <f t="shared" si="30"/>
        <v>103065.60000000001</v>
      </c>
      <c r="I64" s="26">
        <f t="shared" si="30"/>
        <v>142878.72</v>
      </c>
      <c r="J64" s="26">
        <f t="shared" si="30"/>
        <v>190654.46400000001</v>
      </c>
      <c r="K64" s="26">
        <f t="shared" si="30"/>
        <v>247985.35680000001</v>
      </c>
      <c r="L64" s="26">
        <f t="shared" si="30"/>
        <v>316782.42816000001</v>
      </c>
      <c r="M64" s="26">
        <f t="shared" si="30"/>
        <v>399338.91379200004</v>
      </c>
      <c r="N64" s="26">
        <f t="shared" si="30"/>
        <v>498406.6965504</v>
      </c>
    </row>
    <row r="65" spans="2:14" ht="15" customHeight="1" x14ac:dyDescent="0.45">
      <c r="B65" s="116"/>
      <c r="C65" s="117" t="s">
        <v>44</v>
      </c>
      <c r="D65" s="17" t="s">
        <v>55</v>
      </c>
      <c r="E65" s="18">
        <f>E57*E$16/$E$4</f>
        <v>1.9199999999999998E-2</v>
      </c>
      <c r="F65" s="18">
        <f>F57*F$16/$E$4-E65</f>
        <v>2.6880000000000005E-2</v>
      </c>
      <c r="G65" s="18">
        <f>G57*G$16/$E$4-F65-E65</f>
        <v>3.6863999999999994E-2</v>
      </c>
      <c r="H65" s="18">
        <f>H57*H$16/$E$4-G65-F65-E65</f>
        <v>4.9766400000000016E-2</v>
      </c>
      <c r="I65" s="18">
        <f>I57*I$16/$E$4-H65-G65-F65-E65</f>
        <v>6.6355200000000031E-2</v>
      </c>
      <c r="J65" s="18">
        <f>J57*J$16/$E$4-I65-H65-G65-F65-E65</f>
        <v>8.7588864000000002E-2</v>
      </c>
      <c r="K65" s="18">
        <f>K57*K$16/$E$4-J65-I65-H65-G65-F65-E65</f>
        <v>0.11466178560000001</v>
      </c>
      <c r="L65" s="18">
        <f>L57*L$16/$E$4-K65-J65-I65-H65-G65-F65-E65</f>
        <v>0.14906032128000002</v>
      </c>
      <c r="M65" s="18">
        <f>M57*M$16/$E$4-L65-K65-J65-I65-H65-G65-F65-E65</f>
        <v>0.19263179980799983</v>
      </c>
      <c r="N65" s="18">
        <f>N57*N$16/$E$4-M65-L65-K65-J65-I65-H65-G65-F65-E65</f>
        <v>0.24766945689599995</v>
      </c>
    </row>
    <row r="66" spans="2:14" ht="15" customHeight="1" x14ac:dyDescent="0.45">
      <c r="B66" s="116"/>
      <c r="C66" s="115"/>
      <c r="D66" s="17" t="s">
        <v>56</v>
      </c>
      <c r="E66" s="19"/>
      <c r="F66" s="19"/>
      <c r="G66" s="19"/>
      <c r="H66" s="19"/>
      <c r="I66" s="19">
        <f>SUM(E65:I65)/5</f>
        <v>3.9813120000000007E-2</v>
      </c>
      <c r="J66" s="19"/>
      <c r="K66" s="19"/>
      <c r="L66" s="19"/>
      <c r="M66" s="19"/>
      <c r="N66" s="19">
        <f>SUM(E65:N65)/10</f>
        <v>9.9067782758399989E-2</v>
      </c>
    </row>
    <row r="67" spans="2:14" ht="15" customHeight="1" x14ac:dyDescent="0.45">
      <c r="B67" s="116"/>
      <c r="C67" s="116"/>
      <c r="D67" s="21" t="s">
        <v>59</v>
      </c>
      <c r="E67" s="25">
        <f>E69</f>
        <v>19200</v>
      </c>
      <c r="F67" s="25">
        <f>F69-E69</f>
        <v>26880</v>
      </c>
      <c r="G67" s="25">
        <f>G69-F69</f>
        <v>36864</v>
      </c>
      <c r="H67" s="25">
        <f t="shared" ref="H67:N67" si="31">H69-G69</f>
        <v>49766.399999999994</v>
      </c>
      <c r="I67" s="25">
        <f t="shared" si="31"/>
        <v>66355.200000000041</v>
      </c>
      <c r="J67" s="25">
        <f t="shared" si="31"/>
        <v>87588.86400000006</v>
      </c>
      <c r="K67" s="25">
        <f t="shared" si="31"/>
        <v>114661.78559999994</v>
      </c>
      <c r="L67" s="25">
        <f t="shared" si="31"/>
        <v>149060.32127999997</v>
      </c>
      <c r="M67" s="25">
        <f t="shared" si="31"/>
        <v>192631.79980799998</v>
      </c>
      <c r="N67" s="25">
        <f t="shared" si="31"/>
        <v>247669.45689599996</v>
      </c>
    </row>
    <row r="68" spans="2:14" ht="15" customHeight="1" x14ac:dyDescent="0.45">
      <c r="B68" s="116"/>
      <c r="C68" s="116"/>
      <c r="D68" s="21" t="s">
        <v>61</v>
      </c>
      <c r="E68" s="25"/>
      <c r="F68" s="25"/>
      <c r="G68" s="25"/>
      <c r="H68" s="25"/>
      <c r="I68" s="25">
        <f>SUM(E67:I67)/5</f>
        <v>39813.12000000001</v>
      </c>
      <c r="J68" s="25"/>
      <c r="K68" s="25"/>
      <c r="L68" s="25"/>
      <c r="M68" s="25"/>
      <c r="N68" s="25">
        <f>SUM(E67:N67)/10</f>
        <v>99067.78275839999</v>
      </c>
    </row>
    <row r="69" spans="2:14" ht="15" customHeight="1" x14ac:dyDescent="0.45">
      <c r="B69" s="116"/>
      <c r="C69" s="116"/>
      <c r="D69" s="21" t="s">
        <v>60</v>
      </c>
      <c r="E69" s="26">
        <f t="shared" ref="E69:N69" si="32">E59*E$16</f>
        <v>19200</v>
      </c>
      <c r="F69" s="26">
        <f t="shared" si="32"/>
        <v>46080</v>
      </c>
      <c r="G69" s="26">
        <f t="shared" si="32"/>
        <v>82944</v>
      </c>
      <c r="H69" s="26">
        <f t="shared" si="32"/>
        <v>132710.39999999999</v>
      </c>
      <c r="I69" s="26">
        <f t="shared" si="32"/>
        <v>199065.60000000003</v>
      </c>
      <c r="J69" s="26">
        <f t="shared" si="32"/>
        <v>286654.46400000009</v>
      </c>
      <c r="K69" s="26">
        <f t="shared" si="32"/>
        <v>401316.24960000004</v>
      </c>
      <c r="L69" s="26">
        <f t="shared" si="32"/>
        <v>550376.57088000001</v>
      </c>
      <c r="M69" s="26">
        <f t="shared" si="32"/>
        <v>743008.370688</v>
      </c>
      <c r="N69" s="26">
        <f t="shared" si="32"/>
        <v>990677.82758399996</v>
      </c>
    </row>
    <row r="70" spans="2:14" ht="15" customHeight="1" x14ac:dyDescent="0.45">
      <c r="B70" s="116" t="s">
        <v>18</v>
      </c>
      <c r="C70" s="115" t="s">
        <v>41</v>
      </c>
      <c r="D70" s="17" t="s">
        <v>55</v>
      </c>
      <c r="E70" s="18">
        <f>E43+E56-E115</f>
        <v>-6.6666666666666957E-4</v>
      </c>
      <c r="F70" s="18">
        <f t="shared" ref="F70:N70" si="33">F43+F56-F115</f>
        <v>2.1111111111111434E-3</v>
      </c>
      <c r="G70" s="18">
        <f t="shared" si="33"/>
        <v>4.4259259259258957E-3</v>
      </c>
      <c r="H70" s="18">
        <f t="shared" si="33"/>
        <v>6.3549382716049738E-3</v>
      </c>
      <c r="I70" s="18">
        <f t="shared" si="33"/>
        <v>7.9624485596707702E-3</v>
      </c>
      <c r="J70" s="18">
        <f t="shared" si="33"/>
        <v>9.3020404663923858E-3</v>
      </c>
      <c r="K70" s="18">
        <f t="shared" si="33"/>
        <v>1.0418367055326911E-2</v>
      </c>
      <c r="L70" s="18">
        <f t="shared" si="33"/>
        <v>1.1348639212772422E-2</v>
      </c>
      <c r="M70" s="18">
        <f t="shared" si="33"/>
        <v>1.2123866010643643E-2</v>
      </c>
      <c r="N70" s="18">
        <f t="shared" si="33"/>
        <v>1.2769888342203124E-2</v>
      </c>
    </row>
    <row r="71" spans="2:14" ht="15" customHeight="1" x14ac:dyDescent="0.45">
      <c r="B71" s="116"/>
      <c r="C71" s="115"/>
      <c r="D71" s="17" t="s">
        <v>56</v>
      </c>
      <c r="E71" s="18"/>
      <c r="F71" s="18"/>
      <c r="G71" s="18"/>
      <c r="H71" s="18"/>
      <c r="I71" s="44">
        <f>SUM(E70:I70)/5</f>
        <v>4.0375514403292231E-3</v>
      </c>
      <c r="J71" s="18"/>
      <c r="K71" s="18"/>
      <c r="L71" s="18"/>
      <c r="M71" s="18"/>
      <c r="N71" s="19">
        <f>SUM(E70:N70)/10</f>
        <v>7.6150558288984576E-3</v>
      </c>
    </row>
    <row r="72" spans="2:14" ht="15" customHeight="1" x14ac:dyDescent="0.45">
      <c r="B72" s="116"/>
      <c r="C72" s="115"/>
      <c r="D72" s="17" t="s">
        <v>53</v>
      </c>
      <c r="E72" s="18">
        <f>E45+E57-E117</f>
        <v>-6.6666666666666957E-4</v>
      </c>
      <c r="F72" s="18">
        <f>F45+F57-F117</f>
        <v>1.444444444444512E-3</v>
      </c>
      <c r="G72" s="18">
        <f t="shared" ref="F72:N72" si="34">G45+G57-G117</f>
        <v>5.8703703703702481E-3</v>
      </c>
      <c r="H72" s="18">
        <f t="shared" si="34"/>
        <v>1.2225308641975505E-2</v>
      </c>
      <c r="I72" s="18">
        <f t="shared" si="34"/>
        <v>2.0187757201645992E-2</v>
      </c>
      <c r="J72" s="18">
        <f t="shared" si="34"/>
        <v>2.948979766803915E-2</v>
      </c>
      <c r="K72" s="18">
        <f t="shared" si="34"/>
        <v>3.9908164723365058E-2</v>
      </c>
      <c r="L72" s="18">
        <f t="shared" si="34"/>
        <v>5.1256803936137366E-2</v>
      </c>
      <c r="M72" s="18">
        <f t="shared" si="34"/>
        <v>6.3380669946780058E-2</v>
      </c>
      <c r="N72" s="18">
        <f t="shared" si="34"/>
        <v>7.6150558288985704E-2</v>
      </c>
    </row>
    <row r="73" spans="2:14" ht="15" customHeight="1" x14ac:dyDescent="0.45">
      <c r="B73" s="116"/>
      <c r="C73" s="116"/>
      <c r="D73" s="21" t="s">
        <v>59</v>
      </c>
      <c r="E73" s="22">
        <f>10*E70</f>
        <v>-6.6666666666666957E-3</v>
      </c>
      <c r="F73" s="22">
        <f t="shared" ref="F73:N73" si="35">10*F70</f>
        <v>2.1111111111111434E-2</v>
      </c>
      <c r="G73" s="22">
        <f t="shared" si="35"/>
        <v>4.4259259259258957E-2</v>
      </c>
      <c r="H73" s="22">
        <f t="shared" si="35"/>
        <v>6.3549382716049735E-2</v>
      </c>
      <c r="I73" s="22">
        <f t="shared" si="35"/>
        <v>7.9624485596707706E-2</v>
      </c>
      <c r="J73" s="22">
        <f t="shared" si="35"/>
        <v>9.3020404663923861E-2</v>
      </c>
      <c r="K73" s="22">
        <f t="shared" si="35"/>
        <v>0.1041836705532691</v>
      </c>
      <c r="L73" s="22">
        <f t="shared" si="35"/>
        <v>0.11348639212772421</v>
      </c>
      <c r="M73" s="22">
        <f t="shared" si="35"/>
        <v>0.12123866010643643</v>
      </c>
      <c r="N73" s="22">
        <f t="shared" si="35"/>
        <v>0.12769888342203123</v>
      </c>
    </row>
    <row r="74" spans="2:14" ht="15" customHeight="1" x14ac:dyDescent="0.45">
      <c r="B74" s="116"/>
      <c r="C74" s="116"/>
      <c r="D74" s="21" t="s">
        <v>60</v>
      </c>
      <c r="E74" s="22">
        <f>10*E72</f>
        <v>-6.6666666666666957E-3</v>
      </c>
      <c r="F74" s="22">
        <f>10*F72</f>
        <v>1.444444444444512E-2</v>
      </c>
      <c r="G74" s="22">
        <f>10*G72</f>
        <v>5.8703703703702481E-2</v>
      </c>
      <c r="H74" s="22">
        <f t="shared" ref="H74:N74" si="36">10*H72</f>
        <v>0.12225308641975505</v>
      </c>
      <c r="I74" s="22">
        <f t="shared" si="36"/>
        <v>0.20187757201645992</v>
      </c>
      <c r="J74" s="22">
        <f t="shared" si="36"/>
        <v>0.29489797668039153</v>
      </c>
      <c r="K74" s="22">
        <f t="shared" si="36"/>
        <v>0.39908164723365058</v>
      </c>
      <c r="L74" s="22">
        <f t="shared" si="36"/>
        <v>0.51256803936137363</v>
      </c>
      <c r="M74" s="22">
        <f t="shared" si="36"/>
        <v>0.63380669946780055</v>
      </c>
      <c r="N74" s="22">
        <f t="shared" si="36"/>
        <v>0.76150558288985704</v>
      </c>
    </row>
    <row r="75" spans="2:14" ht="15" customHeight="1" x14ac:dyDescent="0.45">
      <c r="B75" s="116"/>
      <c r="C75" s="117" t="s">
        <v>45</v>
      </c>
      <c r="D75" s="17" t="s">
        <v>55</v>
      </c>
      <c r="E75" s="18">
        <f>E48+E60-E120</f>
        <v>-8.000000000000021E-4</v>
      </c>
      <c r="F75" s="18">
        <f t="shared" ref="F75:N75" si="37">F48+F60-F120</f>
        <v>3.0400000000000427E-3</v>
      </c>
      <c r="G75" s="18">
        <f t="shared" si="37"/>
        <v>7.6479999999999534E-3</v>
      </c>
      <c r="H75" s="18">
        <f t="shared" si="37"/>
        <v>1.3177600000000074E-2</v>
      </c>
      <c r="I75" s="18">
        <f t="shared" si="37"/>
        <v>1.9813119999999969E-2</v>
      </c>
      <c r="J75" s="18">
        <f t="shared" si="37"/>
        <v>2.7775744000000199E-2</v>
      </c>
      <c r="K75" s="18">
        <f t="shared" si="37"/>
        <v>3.7330892799999918E-2</v>
      </c>
      <c r="L75" s="18">
        <f t="shared" si="37"/>
        <v>4.8797071359999916E-2</v>
      </c>
      <c r="M75" s="18">
        <f t="shared" si="37"/>
        <v>6.2556485631999698E-2</v>
      </c>
      <c r="N75" s="18">
        <f t="shared" si="37"/>
        <v>7.9067782758400235E-2</v>
      </c>
    </row>
    <row r="76" spans="2:14" ht="15" customHeight="1" x14ac:dyDescent="0.45">
      <c r="B76" s="116"/>
      <c r="C76" s="115"/>
      <c r="D76" s="17" t="s">
        <v>56</v>
      </c>
      <c r="E76" s="18"/>
      <c r="F76" s="18"/>
      <c r="G76" s="18"/>
      <c r="H76" s="18"/>
      <c r="I76" s="19">
        <f>SUM(E75:I75)/5</f>
        <v>8.5757440000000067E-3</v>
      </c>
      <c r="J76" s="19"/>
      <c r="K76" s="19"/>
      <c r="L76" s="19"/>
      <c r="M76" s="19"/>
      <c r="N76" s="19">
        <f>SUM(E75:N75)/10</f>
        <v>2.9840669655039998E-2</v>
      </c>
    </row>
    <row r="77" spans="2:14" ht="15" customHeight="1" x14ac:dyDescent="0.45">
      <c r="B77" s="116"/>
      <c r="C77" s="116"/>
      <c r="D77" s="21" t="s">
        <v>59</v>
      </c>
      <c r="E77" s="24">
        <f t="shared" ref="E77:N77" si="38">E73*E$16</f>
        <v>-800.00000000000352</v>
      </c>
      <c r="F77" s="24">
        <f t="shared" si="38"/>
        <v>3040.0000000000464</v>
      </c>
      <c r="G77" s="24">
        <f t="shared" si="38"/>
        <v>7647.9999999999482</v>
      </c>
      <c r="H77" s="24">
        <f t="shared" si="38"/>
        <v>13177.600000000073</v>
      </c>
      <c r="I77" s="24">
        <f t="shared" si="38"/>
        <v>19813.119999999974</v>
      </c>
      <c r="J77" s="24">
        <f t="shared" si="38"/>
        <v>27775.744000000206</v>
      </c>
      <c r="K77" s="24">
        <f t="shared" si="38"/>
        <v>37330.892799999921</v>
      </c>
      <c r="L77" s="24">
        <f t="shared" si="38"/>
        <v>48797.071359999907</v>
      </c>
      <c r="M77" s="24">
        <f t="shared" si="38"/>
        <v>62556.485631999691</v>
      </c>
      <c r="N77" s="24">
        <f t="shared" si="38"/>
        <v>79067.782758400223</v>
      </c>
    </row>
    <row r="78" spans="2:14" ht="15" customHeight="1" x14ac:dyDescent="0.45">
      <c r="B78" s="116"/>
      <c r="C78" s="116"/>
      <c r="D78" s="21" t="s">
        <v>61</v>
      </c>
      <c r="E78" s="23"/>
      <c r="F78" s="23"/>
      <c r="G78" s="23"/>
      <c r="H78" s="23"/>
      <c r="I78" s="24">
        <f>SUM(E77:I77)/5</f>
        <v>8575.7440000000079</v>
      </c>
      <c r="J78" s="24"/>
      <c r="K78" s="24"/>
      <c r="L78" s="24"/>
      <c r="M78" s="24"/>
      <c r="N78" s="24">
        <f>SUM(E77:N77)/10</f>
        <v>29840.669655040001</v>
      </c>
    </row>
    <row r="79" spans="2:14" ht="15" customHeight="1" x14ac:dyDescent="0.45">
      <c r="B79" s="116"/>
      <c r="C79" s="116"/>
      <c r="D79" s="21" t="s">
        <v>60</v>
      </c>
      <c r="E79" s="23">
        <f>E77</f>
        <v>-800.00000000000352</v>
      </c>
      <c r="F79" s="23">
        <f t="shared" ref="F79:N79" si="39">E79+F77</f>
        <v>2240.0000000000427</v>
      </c>
      <c r="G79" s="23">
        <f t="shared" si="39"/>
        <v>9887.9999999999909</v>
      </c>
      <c r="H79" s="23">
        <f t="shared" si="39"/>
        <v>23065.600000000064</v>
      </c>
      <c r="I79" s="23">
        <f t="shared" si="39"/>
        <v>42878.720000000038</v>
      </c>
      <c r="J79" s="23">
        <f t="shared" si="39"/>
        <v>70654.46400000024</v>
      </c>
      <c r="K79" s="23">
        <f t="shared" si="39"/>
        <v>107985.35680000015</v>
      </c>
      <c r="L79" s="23">
        <f t="shared" si="39"/>
        <v>156782.42816000007</v>
      </c>
      <c r="M79" s="23">
        <f t="shared" si="39"/>
        <v>219338.91379199974</v>
      </c>
      <c r="N79" s="23">
        <f t="shared" si="39"/>
        <v>298406.6965504</v>
      </c>
    </row>
    <row r="80" spans="2:14" ht="15" customHeight="1" x14ac:dyDescent="0.45">
      <c r="B80" s="116"/>
      <c r="C80" s="117" t="s">
        <v>44</v>
      </c>
      <c r="D80" s="17" t="s">
        <v>55</v>
      </c>
      <c r="E80" s="18">
        <f>E51+E65-E123</f>
        <v>-8.000000000000021E-4</v>
      </c>
      <c r="F80" s="18">
        <f t="shared" ref="F80:N80" si="40">F51+F65-F123</f>
        <v>2.8800000000001116E-3</v>
      </c>
      <c r="G80" s="18">
        <f t="shared" si="40"/>
        <v>8.0639999999996756E-3</v>
      </c>
      <c r="H80" s="18">
        <f t="shared" si="40"/>
        <v>1.5206400000000633E-2</v>
      </c>
      <c r="I80" s="18">
        <f t="shared" si="40"/>
        <v>2.488319999999937E-2</v>
      </c>
      <c r="J80" s="18">
        <f t="shared" si="40"/>
        <v>3.782246400000247E-2</v>
      </c>
      <c r="K80" s="18">
        <f t="shared" si="40"/>
        <v>5.4942105599996641E-2</v>
      </c>
      <c r="L80" s="18">
        <f t="shared" si="40"/>
        <v>7.7396705279999423E-2</v>
      </c>
      <c r="M80" s="18">
        <f t="shared" si="40"/>
        <v>0.10663546060799442</v>
      </c>
      <c r="N80" s="18">
        <f t="shared" si="40"/>
        <v>0.14447384985601422</v>
      </c>
    </row>
    <row r="81" spans="1:18" ht="15" customHeight="1" x14ac:dyDescent="0.45">
      <c r="B81" s="116"/>
      <c r="C81" s="115"/>
      <c r="D81" s="17" t="s">
        <v>56</v>
      </c>
      <c r="E81" s="19"/>
      <c r="F81" s="19"/>
      <c r="G81" s="19"/>
      <c r="H81" s="19"/>
      <c r="I81" s="19">
        <f>SUM(E80:I80)/5</f>
        <v>1.0046719999999957E-2</v>
      </c>
      <c r="J81" s="19"/>
      <c r="K81" s="19"/>
      <c r="L81" s="19"/>
      <c r="M81" s="19"/>
      <c r="N81" s="19">
        <f>SUM(E80:N80)/10</f>
        <v>4.7150418534400697E-2</v>
      </c>
    </row>
    <row r="82" spans="1:18" ht="15" customHeight="1" x14ac:dyDescent="0.45">
      <c r="B82" s="116"/>
      <c r="C82" s="116"/>
      <c r="D82" s="21" t="s">
        <v>59</v>
      </c>
      <c r="E82" s="24">
        <f>E84</f>
        <v>-800.00000000000352</v>
      </c>
      <c r="F82" s="24">
        <f>F84-E84</f>
        <v>2880.000000000101</v>
      </c>
      <c r="G82" s="24">
        <f>G84-F84</f>
        <v>8063.9999999996917</v>
      </c>
      <c r="H82" s="24">
        <f t="shared" ref="H82:N82" si="41">H84-G84</f>
        <v>15206.400000000616</v>
      </c>
      <c r="I82" s="24">
        <f t="shared" si="41"/>
        <v>24883.199999999353</v>
      </c>
      <c r="J82" s="24">
        <f t="shared" si="41"/>
        <v>37822.464000002466</v>
      </c>
      <c r="K82" s="24">
        <f t="shared" si="41"/>
        <v>54942.105599996779</v>
      </c>
      <c r="L82" s="24">
        <f t="shared" si="41"/>
        <v>77396.70527999918</v>
      </c>
      <c r="M82" s="24">
        <f t="shared" si="41"/>
        <v>106635.46060799444</v>
      </c>
      <c r="N82" s="24">
        <f t="shared" si="41"/>
        <v>144473.84985601436</v>
      </c>
    </row>
    <row r="83" spans="1:18" ht="15" customHeight="1" x14ac:dyDescent="0.45">
      <c r="A83" s="9"/>
      <c r="B83" s="116"/>
      <c r="C83" s="116"/>
      <c r="D83" s="21" t="s">
        <v>61</v>
      </c>
      <c r="E83" s="24"/>
      <c r="F83" s="24"/>
      <c r="G83" s="24"/>
      <c r="H83" s="24"/>
      <c r="I83" s="24">
        <f>SUM(E82:I82)/5</f>
        <v>10046.719999999952</v>
      </c>
      <c r="J83" s="24"/>
      <c r="K83" s="24"/>
      <c r="L83" s="24"/>
      <c r="M83" s="24"/>
      <c r="N83" s="24">
        <f>SUM(E82:N82)/10</f>
        <v>47150.418534400698</v>
      </c>
      <c r="O83" s="9"/>
    </row>
    <row r="84" spans="1:18" ht="15" customHeight="1" x14ac:dyDescent="0.45">
      <c r="B84" s="116"/>
      <c r="C84" s="116"/>
      <c r="D84" s="21" t="s">
        <v>60</v>
      </c>
      <c r="E84" s="23">
        <f t="shared" ref="E84:N84" si="42">E74*E$16</f>
        <v>-800.00000000000352</v>
      </c>
      <c r="F84" s="23">
        <f t="shared" si="42"/>
        <v>2080.0000000000973</v>
      </c>
      <c r="G84" s="23">
        <f t="shared" si="42"/>
        <v>10143.999999999789</v>
      </c>
      <c r="H84" s="23">
        <f t="shared" si="42"/>
        <v>25350.400000000405</v>
      </c>
      <c r="I84" s="23">
        <f t="shared" si="42"/>
        <v>50233.599999999758</v>
      </c>
      <c r="J84" s="23">
        <f t="shared" si="42"/>
        <v>88056.064000002225</v>
      </c>
      <c r="K84" s="23">
        <f t="shared" si="42"/>
        <v>142998.169599999</v>
      </c>
      <c r="L84" s="23">
        <f t="shared" si="42"/>
        <v>220394.87487999818</v>
      </c>
      <c r="M84" s="23">
        <f t="shared" si="42"/>
        <v>327030.33548799262</v>
      </c>
      <c r="N84" s="23">
        <f t="shared" si="42"/>
        <v>471504.18534400698</v>
      </c>
    </row>
    <row r="85" spans="1:18" s="5" customFormat="1" ht="15" customHeight="1" x14ac:dyDescent="0.45">
      <c r="B85" s="4"/>
      <c r="C85" s="1"/>
      <c r="D85" s="53"/>
      <c r="E85" s="36"/>
      <c r="F85" s="36"/>
      <c r="G85" s="36"/>
      <c r="H85" s="36"/>
      <c r="I85" s="36"/>
      <c r="J85" s="36"/>
      <c r="K85" s="36"/>
      <c r="L85" s="36"/>
      <c r="M85" s="36"/>
      <c r="N85" s="36"/>
      <c r="P85" s="2"/>
      <c r="Q85" s="2"/>
      <c r="R85" s="2"/>
    </row>
    <row r="86" spans="1:18" s="5" customFormat="1" ht="15" customHeight="1" x14ac:dyDescent="0.45">
      <c r="B86" s="120" t="s">
        <v>39</v>
      </c>
      <c r="C86" s="3" t="s">
        <v>33</v>
      </c>
      <c r="D86" s="58">
        <f>E9</f>
        <v>0.2</v>
      </c>
      <c r="E86" s="90" t="s">
        <v>3</v>
      </c>
      <c r="F86" s="90" t="s">
        <v>4</v>
      </c>
      <c r="G86" s="90" t="s">
        <v>5</v>
      </c>
      <c r="H86" s="90" t="s">
        <v>6</v>
      </c>
      <c r="I86" s="90" t="s">
        <v>7</v>
      </c>
      <c r="J86" s="90" t="s">
        <v>8</v>
      </c>
      <c r="K86" s="90" t="s">
        <v>9</v>
      </c>
      <c r="L86" s="90" t="s">
        <v>10</v>
      </c>
      <c r="M86" s="90" t="s">
        <v>11</v>
      </c>
      <c r="N86" s="90" t="s">
        <v>12</v>
      </c>
      <c r="P86" s="2"/>
      <c r="Q86" s="2"/>
      <c r="R86" s="2"/>
    </row>
    <row r="87" spans="1:18" s="5" customFormat="1" ht="15" customHeight="1" x14ac:dyDescent="0.45">
      <c r="B87" s="121"/>
      <c r="C87" s="47" t="s">
        <v>21</v>
      </c>
      <c r="D87" s="35" t="str">
        <f>"10 BTC / "&amp;TEXT($E$4*10, "$###0.00,,")&amp;"M USD"</f>
        <v>10 BTC / $1.00M USD</v>
      </c>
      <c r="E87" s="91"/>
      <c r="F87" s="91"/>
      <c r="G87" s="91"/>
      <c r="H87" s="91"/>
      <c r="I87" s="91"/>
      <c r="J87" s="91"/>
      <c r="K87" s="91"/>
      <c r="L87" s="91"/>
      <c r="M87" s="91"/>
      <c r="N87" s="91"/>
      <c r="P87" s="2"/>
      <c r="Q87" s="2"/>
      <c r="R87" s="2"/>
    </row>
    <row r="88" spans="1:18" s="5" customFormat="1" ht="15" customHeight="1" x14ac:dyDescent="0.45">
      <c r="B88" s="116" t="s">
        <v>16</v>
      </c>
      <c r="C88" s="115" t="s">
        <v>41</v>
      </c>
      <c r="D88" s="17" t="s">
        <v>55</v>
      </c>
      <c r="E88" s="18">
        <f>E$20*$D86</f>
        <v>3.3333333333333333E-2</v>
      </c>
      <c r="F88" s="18">
        <f t="shared" ref="F88:N88" si="43">F$20*$D86</f>
        <v>2.7777777777777787E-2</v>
      </c>
      <c r="G88" s="18">
        <f t="shared" si="43"/>
        <v>2.314814814814814E-2</v>
      </c>
      <c r="H88" s="18">
        <f t="shared" si="43"/>
        <v>1.9290123456790133E-2</v>
      </c>
      <c r="I88" s="18">
        <f t="shared" si="43"/>
        <v>1.6075102880658432E-2</v>
      </c>
      <c r="J88" s="18">
        <f t="shared" si="43"/>
        <v>1.3395919067215378E-2</v>
      </c>
      <c r="K88" s="18">
        <f t="shared" si="43"/>
        <v>1.116326588934613E-2</v>
      </c>
      <c r="L88" s="18">
        <f t="shared" si="43"/>
        <v>9.3027215744551084E-3</v>
      </c>
      <c r="M88" s="18">
        <f t="shared" si="43"/>
        <v>7.7522679787125799E-3</v>
      </c>
      <c r="N88" s="18">
        <f t="shared" si="43"/>
        <v>6.4602233155938386E-3</v>
      </c>
      <c r="P88" s="2"/>
      <c r="Q88" s="2"/>
      <c r="R88" s="2"/>
    </row>
    <row r="89" spans="1:18" s="5" customFormat="1" ht="15" customHeight="1" x14ac:dyDescent="0.45">
      <c r="B89" s="116"/>
      <c r="C89" s="115"/>
      <c r="D89" s="17" t="s">
        <v>56</v>
      </c>
      <c r="E89" s="18"/>
      <c r="F89" s="18"/>
      <c r="G89" s="18"/>
      <c r="H89" s="18"/>
      <c r="I89" s="44">
        <f>SUM(E88:I88)/5</f>
        <v>2.3924897119341561E-2</v>
      </c>
      <c r="J89" s="18"/>
      <c r="K89" s="18"/>
      <c r="L89" s="18"/>
      <c r="M89" s="18"/>
      <c r="N89" s="19">
        <f>SUM(E88:N88)/10</f>
        <v>1.6769888342203085E-2</v>
      </c>
      <c r="P89" s="2"/>
      <c r="Q89" s="2"/>
      <c r="R89" s="2"/>
    </row>
    <row r="90" spans="1:18" s="5" customFormat="1" ht="15" customHeight="1" x14ac:dyDescent="0.45">
      <c r="B90" s="116"/>
      <c r="C90" s="115"/>
      <c r="D90" s="17" t="s">
        <v>53</v>
      </c>
      <c r="E90" s="18">
        <f>E$18*$D86</f>
        <v>3.3333333333333333E-2</v>
      </c>
      <c r="F90" s="18">
        <f>F$18*$D86</f>
        <v>6.1111111111111116E-2</v>
      </c>
      <c r="G90" s="18">
        <f t="shared" ref="F90:N90" si="44">G$18*$D86</f>
        <v>8.4259259259259256E-2</v>
      </c>
      <c r="H90" s="18">
        <f t="shared" si="44"/>
        <v>0.1035493827160494</v>
      </c>
      <c r="I90" s="18">
        <f t="shared" si="44"/>
        <v>0.11962448559670782</v>
      </c>
      <c r="J90" s="18">
        <f t="shared" si="44"/>
        <v>0.1330204046639232</v>
      </c>
      <c r="K90" s="18">
        <f t="shared" si="44"/>
        <v>0.14418367055326933</v>
      </c>
      <c r="L90" s="18">
        <f t="shared" si="44"/>
        <v>0.15348639212772444</v>
      </c>
      <c r="M90" s="18">
        <f t="shared" si="44"/>
        <v>0.16123866010643703</v>
      </c>
      <c r="N90" s="18">
        <f t="shared" si="44"/>
        <v>0.16769888342203088</v>
      </c>
      <c r="P90" s="2"/>
      <c r="Q90" s="2"/>
      <c r="R90" s="2"/>
    </row>
    <row r="91" spans="1:18" s="5" customFormat="1" ht="15" customHeight="1" x14ac:dyDescent="0.45">
      <c r="B91" s="116"/>
      <c r="C91" s="116"/>
      <c r="D91" s="21" t="s">
        <v>59</v>
      </c>
      <c r="E91" s="22">
        <f>10*E88</f>
        <v>0.33333333333333331</v>
      </c>
      <c r="F91" s="22">
        <f t="shared" ref="F91:N91" si="45">10*F88</f>
        <v>0.27777777777777785</v>
      </c>
      <c r="G91" s="22">
        <f t="shared" si="45"/>
        <v>0.2314814814814814</v>
      </c>
      <c r="H91" s="22">
        <f t="shared" si="45"/>
        <v>0.19290123456790131</v>
      </c>
      <c r="I91" s="22">
        <f t="shared" si="45"/>
        <v>0.16075102880658432</v>
      </c>
      <c r="J91" s="22">
        <f t="shared" si="45"/>
        <v>0.13395919067215378</v>
      </c>
      <c r="K91" s="22">
        <f t="shared" si="45"/>
        <v>0.1116326588934613</v>
      </c>
      <c r="L91" s="22">
        <f t="shared" si="45"/>
        <v>9.3027215744551084E-2</v>
      </c>
      <c r="M91" s="22">
        <f t="shared" si="45"/>
        <v>7.7522679787125792E-2</v>
      </c>
      <c r="N91" s="22">
        <f t="shared" si="45"/>
        <v>6.4602233155938382E-2</v>
      </c>
      <c r="P91" s="2"/>
      <c r="Q91" s="2"/>
      <c r="R91" s="2"/>
    </row>
    <row r="92" spans="1:18" s="5" customFormat="1" ht="15" customHeight="1" x14ac:dyDescent="0.45">
      <c r="B92" s="116"/>
      <c r="C92" s="116"/>
      <c r="D92" s="21" t="s">
        <v>60</v>
      </c>
      <c r="E92" s="22">
        <f>10*E90</f>
        <v>0.33333333333333331</v>
      </c>
      <c r="F92" s="22">
        <f>10*F90</f>
        <v>0.61111111111111116</v>
      </c>
      <c r="G92" s="22">
        <f>10*G90</f>
        <v>0.84259259259259256</v>
      </c>
      <c r="H92" s="22">
        <f t="shared" ref="H92:N92" si="46">10*H90</f>
        <v>1.0354938271604939</v>
      </c>
      <c r="I92" s="22">
        <f t="shared" si="46"/>
        <v>1.1962448559670782</v>
      </c>
      <c r="J92" s="22">
        <f t="shared" si="46"/>
        <v>1.330204046639232</v>
      </c>
      <c r="K92" s="22">
        <f t="shared" si="46"/>
        <v>1.4418367055326933</v>
      </c>
      <c r="L92" s="22">
        <f t="shared" si="46"/>
        <v>1.5348639212772444</v>
      </c>
      <c r="M92" s="22">
        <f t="shared" si="46"/>
        <v>1.6123866010643704</v>
      </c>
      <c r="N92" s="22">
        <f t="shared" si="46"/>
        <v>1.6769888342203088</v>
      </c>
      <c r="P92" s="2"/>
      <c r="Q92" s="2"/>
      <c r="R92" s="2"/>
    </row>
    <row r="93" spans="1:18" s="5" customFormat="1" ht="15" customHeight="1" x14ac:dyDescent="0.45">
      <c r="B93" s="116"/>
      <c r="C93" s="117" t="s">
        <v>45</v>
      </c>
      <c r="D93" s="17" t="s">
        <v>55</v>
      </c>
      <c r="E93" s="18">
        <f>E88*E$16/$E$4</f>
        <v>0.04</v>
      </c>
      <c r="F93" s="18">
        <f t="shared" ref="F93:N93" si="47">F88*F$16/$E$4</f>
        <v>4.0000000000000015E-2</v>
      </c>
      <c r="G93" s="18">
        <f t="shared" si="47"/>
        <v>3.9999999999999987E-2</v>
      </c>
      <c r="H93" s="18">
        <f t="shared" si="47"/>
        <v>4.0000000000000022E-2</v>
      </c>
      <c r="I93" s="18">
        <f t="shared" si="47"/>
        <v>3.9999999999999994E-2</v>
      </c>
      <c r="J93" s="18">
        <f t="shared" si="47"/>
        <v>4.0000000000000042E-2</v>
      </c>
      <c r="K93" s="18">
        <f t="shared" si="47"/>
        <v>3.999999999999998E-2</v>
      </c>
      <c r="L93" s="18">
        <f t="shared" si="47"/>
        <v>3.999999999999998E-2</v>
      </c>
      <c r="M93" s="18">
        <f t="shared" si="47"/>
        <v>3.9999999999999925E-2</v>
      </c>
      <c r="N93" s="18">
        <f t="shared" si="47"/>
        <v>4.0000000000000056E-2</v>
      </c>
      <c r="P93" s="2"/>
      <c r="Q93" s="2"/>
      <c r="R93" s="2"/>
    </row>
    <row r="94" spans="1:18" s="5" customFormat="1" ht="15" customHeight="1" x14ac:dyDescent="0.45">
      <c r="B94" s="116"/>
      <c r="C94" s="116"/>
      <c r="D94" s="21" t="s">
        <v>59</v>
      </c>
      <c r="E94" s="23">
        <f t="shared" ref="E94:N94" si="48">E91*E$16</f>
        <v>40000</v>
      </c>
      <c r="F94" s="23">
        <f t="shared" si="48"/>
        <v>40000.000000000007</v>
      </c>
      <c r="G94" s="23">
        <f t="shared" si="48"/>
        <v>39999.999999999985</v>
      </c>
      <c r="H94" s="23">
        <f t="shared" si="48"/>
        <v>40000.000000000015</v>
      </c>
      <c r="I94" s="23">
        <f t="shared" si="48"/>
        <v>39999.999999999985</v>
      </c>
      <c r="J94" s="23">
        <f t="shared" si="48"/>
        <v>40000.000000000044</v>
      </c>
      <c r="K94" s="23">
        <f t="shared" si="48"/>
        <v>39999.999999999978</v>
      </c>
      <c r="L94" s="23">
        <f t="shared" si="48"/>
        <v>39999.999999999978</v>
      </c>
      <c r="M94" s="23">
        <f t="shared" si="48"/>
        <v>39999.99999999992</v>
      </c>
      <c r="N94" s="23">
        <f t="shared" si="48"/>
        <v>40000.000000000058</v>
      </c>
      <c r="P94" s="2"/>
      <c r="Q94" s="2"/>
      <c r="R94" s="2"/>
    </row>
    <row r="95" spans="1:18" s="5" customFormat="1" ht="15" customHeight="1" x14ac:dyDescent="0.45">
      <c r="B95" s="116"/>
      <c r="C95" s="116"/>
      <c r="D95" s="21" t="s">
        <v>60</v>
      </c>
      <c r="E95" s="23">
        <f>E94</f>
        <v>40000</v>
      </c>
      <c r="F95" s="23">
        <f>E95+F94</f>
        <v>80000</v>
      </c>
      <c r="G95" s="23">
        <f t="shared" ref="G95:N95" si="49">F95+G94</f>
        <v>119999.99999999999</v>
      </c>
      <c r="H95" s="23">
        <f t="shared" si="49"/>
        <v>160000</v>
      </c>
      <c r="I95" s="23">
        <f t="shared" si="49"/>
        <v>200000</v>
      </c>
      <c r="J95" s="23">
        <f t="shared" si="49"/>
        <v>240000.00000000006</v>
      </c>
      <c r="K95" s="23">
        <f t="shared" si="49"/>
        <v>280000.00000000006</v>
      </c>
      <c r="L95" s="23">
        <f t="shared" si="49"/>
        <v>320000.00000000006</v>
      </c>
      <c r="M95" s="23">
        <f t="shared" si="49"/>
        <v>360000</v>
      </c>
      <c r="N95" s="23">
        <f t="shared" si="49"/>
        <v>400000.00000000006</v>
      </c>
      <c r="P95" s="2"/>
      <c r="Q95" s="2"/>
      <c r="R95" s="2"/>
    </row>
    <row r="96" spans="1:18" s="5" customFormat="1" ht="15" customHeight="1" x14ac:dyDescent="0.45">
      <c r="B96" s="116"/>
      <c r="C96" s="117" t="s">
        <v>44</v>
      </c>
      <c r="D96" s="17" t="s">
        <v>55</v>
      </c>
      <c r="E96" s="18">
        <f>E90*E$16/$E$4</f>
        <v>0.04</v>
      </c>
      <c r="F96" s="18">
        <f>F90*F$16/$E$4-E96</f>
        <v>4.7999999999999994E-2</v>
      </c>
      <c r="G96" s="18">
        <f>G90*G$16/$E$4-F96-E96</f>
        <v>5.7600000000000019E-2</v>
      </c>
      <c r="H96" s="18">
        <f>H90*H$16/$E$4-G96-F96-E96</f>
        <v>6.9120000000000043E-2</v>
      </c>
      <c r="I96" s="18">
        <f>I90*I$16/$E$4-H96-G96-F96-E96</f>
        <v>8.294399999999999E-2</v>
      </c>
      <c r="J96" s="18">
        <f>J90*J$16/$E$4-I96-H96-G96-F96-E96</f>
        <v>9.953280000000006E-2</v>
      </c>
      <c r="K96" s="18">
        <f>K90*K$16/$E$4-J96-I96-H96-G96-F96-E96</f>
        <v>0.11943935999999994</v>
      </c>
      <c r="L96" s="18">
        <f>L90*L$16/$E$4-K96-J96-I96-H96-G96-F96-E96</f>
        <v>0.1433272319999998</v>
      </c>
      <c r="M96" s="18">
        <f>M90*M$16/$E$4-L96-K96-J96-I96-H96-G96-F96-E96</f>
        <v>0.17199267840000024</v>
      </c>
      <c r="N96" s="18">
        <f>N90*N$16/$E$4-M96-L96-K96-J96-I96-H96-G96-F96-E96</f>
        <v>0.20639121408000008</v>
      </c>
      <c r="P96" s="2"/>
      <c r="Q96" s="2"/>
      <c r="R96" s="2"/>
    </row>
    <row r="97" spans="2:18" s="5" customFormat="1" ht="15" customHeight="1" x14ac:dyDescent="0.45">
      <c r="B97" s="116"/>
      <c r="C97" s="115"/>
      <c r="D97" s="17" t="s">
        <v>56</v>
      </c>
      <c r="E97" s="19"/>
      <c r="F97" s="19"/>
      <c r="G97" s="19"/>
      <c r="H97" s="19"/>
      <c r="I97" s="19">
        <f>SUM(E96:I96)/5</f>
        <v>5.9532800000000011E-2</v>
      </c>
      <c r="J97" s="19"/>
      <c r="K97" s="19"/>
      <c r="L97" s="19"/>
      <c r="M97" s="19"/>
      <c r="N97" s="19">
        <f>SUM(E96:N96)/10</f>
        <v>0.10383472844800001</v>
      </c>
      <c r="P97" s="2"/>
      <c r="Q97" s="2"/>
      <c r="R97" s="2"/>
    </row>
    <row r="98" spans="2:18" s="5" customFormat="1" ht="15" customHeight="1" x14ac:dyDescent="0.45">
      <c r="B98" s="116"/>
      <c r="C98" s="116"/>
      <c r="D98" s="21" t="s">
        <v>59</v>
      </c>
      <c r="E98" s="24">
        <f>E100</f>
        <v>40000</v>
      </c>
      <c r="F98" s="24">
        <f>F100-E100</f>
        <v>48000</v>
      </c>
      <c r="G98" s="24">
        <f t="shared" ref="G98:N98" si="50">G100-F100</f>
        <v>57600</v>
      </c>
      <c r="H98" s="24">
        <f t="shared" si="50"/>
        <v>69120</v>
      </c>
      <c r="I98" s="24">
        <f t="shared" si="50"/>
        <v>82944</v>
      </c>
      <c r="J98" s="24">
        <f t="shared" si="50"/>
        <v>99532.800000000047</v>
      </c>
      <c r="K98" s="24">
        <f t="shared" si="50"/>
        <v>119439.35999999999</v>
      </c>
      <c r="L98" s="24">
        <f t="shared" si="50"/>
        <v>143327.23199999996</v>
      </c>
      <c r="M98" s="24">
        <f t="shared" si="50"/>
        <v>171992.67840000009</v>
      </c>
      <c r="N98" s="24">
        <f t="shared" si="50"/>
        <v>206391.21407999995</v>
      </c>
      <c r="P98" s="2"/>
      <c r="Q98" s="2"/>
      <c r="R98" s="2"/>
    </row>
    <row r="99" spans="2:18" s="5" customFormat="1" ht="15" customHeight="1" x14ac:dyDescent="0.45">
      <c r="B99" s="116"/>
      <c r="C99" s="116"/>
      <c r="D99" s="21" t="s">
        <v>61</v>
      </c>
      <c r="E99" s="24"/>
      <c r="F99" s="24"/>
      <c r="G99" s="24"/>
      <c r="H99" s="24"/>
      <c r="I99" s="24">
        <f>SUM(E98:I98)/5</f>
        <v>59532.800000000003</v>
      </c>
      <c r="J99" s="24"/>
      <c r="K99" s="24"/>
      <c r="L99" s="24"/>
      <c r="M99" s="24"/>
      <c r="N99" s="24">
        <f>SUM(E98:N98)/10</f>
        <v>103834.72844800001</v>
      </c>
      <c r="P99" s="2"/>
      <c r="Q99" s="2"/>
      <c r="R99" s="2"/>
    </row>
    <row r="100" spans="2:18" s="5" customFormat="1" ht="15" customHeight="1" x14ac:dyDescent="0.45">
      <c r="B100" s="116"/>
      <c r="C100" s="116"/>
      <c r="D100" s="21" t="s">
        <v>60</v>
      </c>
      <c r="E100" s="23">
        <f t="shared" ref="E100:N100" si="51">E92*E$16</f>
        <v>40000</v>
      </c>
      <c r="F100" s="23">
        <f t="shared" si="51"/>
        <v>88000</v>
      </c>
      <c r="G100" s="23">
        <f t="shared" si="51"/>
        <v>145600</v>
      </c>
      <c r="H100" s="23">
        <f t="shared" si="51"/>
        <v>214720</v>
      </c>
      <c r="I100" s="23">
        <f t="shared" si="51"/>
        <v>297664</v>
      </c>
      <c r="J100" s="23">
        <f t="shared" si="51"/>
        <v>397196.80000000005</v>
      </c>
      <c r="K100" s="23">
        <f t="shared" si="51"/>
        <v>516636.16000000003</v>
      </c>
      <c r="L100" s="23">
        <f t="shared" si="51"/>
        <v>659963.39199999999</v>
      </c>
      <c r="M100" s="23">
        <f t="shared" si="51"/>
        <v>831956.07040000008</v>
      </c>
      <c r="N100" s="23">
        <f t="shared" si="51"/>
        <v>1038347.28448</v>
      </c>
      <c r="P100" s="2"/>
      <c r="Q100" s="2"/>
      <c r="R100" s="2"/>
    </row>
    <row r="101" spans="2:18" s="5" customFormat="1" ht="15" customHeight="1" x14ac:dyDescent="0.45">
      <c r="B101" s="116" t="s">
        <v>17</v>
      </c>
      <c r="C101" s="115" t="s">
        <v>41</v>
      </c>
      <c r="D101" s="17" t="s">
        <v>55</v>
      </c>
      <c r="E101" s="18">
        <f>E$22*$D86</f>
        <v>4.0000000000000001E-3</v>
      </c>
      <c r="F101" s="18">
        <f t="shared" ref="F101:N101" si="52">F$22*$D86</f>
        <v>4.0000000000000001E-3</v>
      </c>
      <c r="G101" s="18">
        <f t="shared" si="52"/>
        <v>4.0000000000000001E-3</v>
      </c>
      <c r="H101" s="18">
        <f t="shared" si="52"/>
        <v>4.0000000000000001E-3</v>
      </c>
      <c r="I101" s="135">
        <f t="shared" si="52"/>
        <v>4.0000000000000001E-3</v>
      </c>
      <c r="J101" s="18">
        <f t="shared" si="52"/>
        <v>4.0000000000000001E-3</v>
      </c>
      <c r="K101" s="18">
        <f t="shared" si="52"/>
        <v>4.0000000000000001E-3</v>
      </c>
      <c r="L101" s="18">
        <f t="shared" si="52"/>
        <v>4.0000000000000001E-3</v>
      </c>
      <c r="M101" s="18">
        <f t="shared" si="52"/>
        <v>4.0000000000000001E-3</v>
      </c>
      <c r="N101" s="18">
        <f t="shared" si="52"/>
        <v>4.0000000000000001E-3</v>
      </c>
      <c r="P101" s="2"/>
      <c r="Q101" s="2"/>
      <c r="R101" s="2"/>
    </row>
    <row r="102" spans="2:18" s="5" customFormat="1" ht="15" customHeight="1" x14ac:dyDescent="0.45">
      <c r="B102" s="116"/>
      <c r="C102" s="115"/>
      <c r="D102" s="17" t="s">
        <v>53</v>
      </c>
      <c r="E102" s="18">
        <f>E$23*$D86</f>
        <v>4.0000000000000001E-3</v>
      </c>
      <c r="F102" s="18">
        <f t="shared" ref="F102:N102" si="53">F$23*$D86</f>
        <v>8.0000000000000002E-3</v>
      </c>
      <c r="G102" s="18">
        <f t="shared" si="53"/>
        <v>1.2E-2</v>
      </c>
      <c r="H102" s="18">
        <f t="shared" si="53"/>
        <v>1.6E-2</v>
      </c>
      <c r="I102" s="18">
        <f t="shared" si="53"/>
        <v>2.0000000000000004E-2</v>
      </c>
      <c r="J102" s="18">
        <f t="shared" si="53"/>
        <v>2.4000000000000004E-2</v>
      </c>
      <c r="K102" s="18">
        <f t="shared" si="53"/>
        <v>2.8000000000000004E-2</v>
      </c>
      <c r="L102" s="18">
        <f t="shared" si="53"/>
        <v>3.2000000000000001E-2</v>
      </c>
      <c r="M102" s="18">
        <f t="shared" si="53"/>
        <v>3.5999999999999997E-2</v>
      </c>
      <c r="N102" s="18">
        <f t="shared" si="53"/>
        <v>0.04</v>
      </c>
      <c r="P102" s="2"/>
      <c r="Q102" s="2"/>
      <c r="R102" s="2"/>
    </row>
    <row r="103" spans="2:18" s="5" customFormat="1" ht="15" customHeight="1" x14ac:dyDescent="0.45">
      <c r="B103" s="116"/>
      <c r="C103" s="116"/>
      <c r="D103" s="21" t="s">
        <v>59</v>
      </c>
      <c r="E103" s="22">
        <f>10*E101</f>
        <v>0.04</v>
      </c>
      <c r="F103" s="22">
        <f t="shared" ref="F103:N104" si="54">10*F101</f>
        <v>0.04</v>
      </c>
      <c r="G103" s="22">
        <f t="shared" si="54"/>
        <v>0.04</v>
      </c>
      <c r="H103" s="22">
        <f t="shared" si="54"/>
        <v>0.04</v>
      </c>
      <c r="I103" s="22">
        <f t="shared" si="54"/>
        <v>0.04</v>
      </c>
      <c r="J103" s="22">
        <f t="shared" si="54"/>
        <v>0.04</v>
      </c>
      <c r="K103" s="22">
        <f t="shared" si="54"/>
        <v>0.04</v>
      </c>
      <c r="L103" s="22">
        <f t="shared" si="54"/>
        <v>0.04</v>
      </c>
      <c r="M103" s="22">
        <f t="shared" si="54"/>
        <v>0.04</v>
      </c>
      <c r="N103" s="22">
        <f t="shared" si="54"/>
        <v>0.04</v>
      </c>
      <c r="P103" s="2"/>
      <c r="Q103" s="2"/>
      <c r="R103" s="2"/>
    </row>
    <row r="104" spans="2:18" s="5" customFormat="1" ht="15" customHeight="1" x14ac:dyDescent="0.45">
      <c r="B104" s="116"/>
      <c r="C104" s="116"/>
      <c r="D104" s="21" t="s">
        <v>60</v>
      </c>
      <c r="E104" s="22">
        <f>10*E102</f>
        <v>0.04</v>
      </c>
      <c r="F104" s="22">
        <f t="shared" si="54"/>
        <v>0.08</v>
      </c>
      <c r="G104" s="22">
        <f t="shared" si="54"/>
        <v>0.12</v>
      </c>
      <c r="H104" s="22">
        <f t="shared" si="54"/>
        <v>0.16</v>
      </c>
      <c r="I104" s="22">
        <f t="shared" si="54"/>
        <v>0.20000000000000004</v>
      </c>
      <c r="J104" s="22">
        <f t="shared" si="54"/>
        <v>0.24000000000000005</v>
      </c>
      <c r="K104" s="22">
        <f t="shared" si="54"/>
        <v>0.28000000000000003</v>
      </c>
      <c r="L104" s="22">
        <f t="shared" si="54"/>
        <v>0.32</v>
      </c>
      <c r="M104" s="22">
        <f t="shared" si="54"/>
        <v>0.36</v>
      </c>
      <c r="N104" s="22">
        <f t="shared" si="54"/>
        <v>0.4</v>
      </c>
      <c r="P104" s="2"/>
      <c r="Q104" s="2"/>
      <c r="R104" s="2"/>
    </row>
    <row r="105" spans="2:18" s="5" customFormat="1" ht="15" customHeight="1" x14ac:dyDescent="0.45">
      <c r="B105" s="116"/>
      <c r="C105" s="117" t="s">
        <v>45</v>
      </c>
      <c r="D105" s="17" t="s">
        <v>55</v>
      </c>
      <c r="E105" s="18">
        <f>E101*E$16/$E$4</f>
        <v>4.7999999999999996E-3</v>
      </c>
      <c r="F105" s="18">
        <f t="shared" ref="F105:N105" si="55">F101*F$16/$E$4</f>
        <v>5.7600000000000004E-3</v>
      </c>
      <c r="G105" s="18">
        <f t="shared" si="55"/>
        <v>6.9120000000000006E-3</v>
      </c>
      <c r="H105" s="18">
        <f t="shared" si="55"/>
        <v>8.2944000000000004E-3</v>
      </c>
      <c r="I105" s="18">
        <f t="shared" si="55"/>
        <v>9.9532800000000001E-3</v>
      </c>
      <c r="J105" s="18">
        <f t="shared" si="55"/>
        <v>1.1943936E-2</v>
      </c>
      <c r="K105" s="18">
        <f t="shared" si="55"/>
        <v>1.43327232E-2</v>
      </c>
      <c r="L105" s="18">
        <f t="shared" si="55"/>
        <v>1.7199267840000001E-2</v>
      </c>
      <c r="M105" s="18">
        <f t="shared" si="55"/>
        <v>2.0639121408000002E-2</v>
      </c>
      <c r="N105" s="18">
        <f t="shared" si="55"/>
        <v>2.4766945689599997E-2</v>
      </c>
      <c r="P105" s="2"/>
      <c r="Q105" s="2"/>
      <c r="R105" s="2"/>
    </row>
    <row r="106" spans="2:18" s="5" customFormat="1" ht="15" customHeight="1" x14ac:dyDescent="0.45">
      <c r="B106" s="116"/>
      <c r="C106" s="115"/>
      <c r="D106" s="17" t="s">
        <v>56</v>
      </c>
      <c r="E106" s="18"/>
      <c r="F106" s="18"/>
      <c r="G106" s="18"/>
      <c r="H106" s="18"/>
      <c r="I106" s="19">
        <f>SUM(E105:I105)/5</f>
        <v>7.1439360000000009E-3</v>
      </c>
      <c r="J106" s="19"/>
      <c r="K106" s="19"/>
      <c r="L106" s="19"/>
      <c r="M106" s="19"/>
      <c r="N106" s="19">
        <f>SUM(E105:N105)/10</f>
        <v>1.2460167413760001E-2</v>
      </c>
      <c r="P106" s="2"/>
      <c r="Q106" s="2"/>
      <c r="R106" s="2"/>
    </row>
    <row r="107" spans="2:18" s="5" customFormat="1" ht="15" customHeight="1" x14ac:dyDescent="0.45">
      <c r="B107" s="116"/>
      <c r="C107" s="116"/>
      <c r="D107" s="21" t="s">
        <v>59</v>
      </c>
      <c r="E107" s="25">
        <f t="shared" ref="E107:N107" si="56">E103*E$16</f>
        <v>4800</v>
      </c>
      <c r="F107" s="25">
        <f t="shared" si="56"/>
        <v>5760</v>
      </c>
      <c r="G107" s="25">
        <f t="shared" si="56"/>
        <v>6912</v>
      </c>
      <c r="H107" s="25">
        <f t="shared" si="56"/>
        <v>8294.4</v>
      </c>
      <c r="I107" s="25">
        <f t="shared" si="56"/>
        <v>9953.2800000000007</v>
      </c>
      <c r="J107" s="25">
        <f t="shared" si="56"/>
        <v>11943.936000000002</v>
      </c>
      <c r="K107" s="25">
        <f t="shared" si="56"/>
        <v>14332.7232</v>
      </c>
      <c r="L107" s="25">
        <f t="shared" si="56"/>
        <v>17199.26784</v>
      </c>
      <c r="M107" s="25">
        <f t="shared" si="56"/>
        <v>20639.121407999999</v>
      </c>
      <c r="N107" s="25">
        <f t="shared" si="56"/>
        <v>24766.945689599997</v>
      </c>
      <c r="P107" s="2"/>
      <c r="Q107" s="2"/>
      <c r="R107" s="2"/>
    </row>
    <row r="108" spans="2:18" s="5" customFormat="1" ht="15" customHeight="1" x14ac:dyDescent="0.45">
      <c r="B108" s="116"/>
      <c r="C108" s="116"/>
      <c r="D108" s="21" t="s">
        <v>61</v>
      </c>
      <c r="E108" s="26"/>
      <c r="F108" s="26"/>
      <c r="G108" s="26"/>
      <c r="H108" s="26"/>
      <c r="I108" s="25">
        <f>SUM(E107:I107)/5</f>
        <v>7143.9359999999997</v>
      </c>
      <c r="J108" s="25"/>
      <c r="K108" s="25"/>
      <c r="L108" s="25"/>
      <c r="M108" s="25"/>
      <c r="N108" s="25">
        <f>SUM(E107:N107)/10</f>
        <v>12460.16741376</v>
      </c>
      <c r="P108" s="2"/>
      <c r="Q108" s="2"/>
      <c r="R108" s="2"/>
    </row>
    <row r="109" spans="2:18" s="5" customFormat="1" ht="15" customHeight="1" x14ac:dyDescent="0.45">
      <c r="B109" s="116"/>
      <c r="C109" s="116"/>
      <c r="D109" s="21" t="s">
        <v>60</v>
      </c>
      <c r="E109" s="26">
        <f>E107</f>
        <v>4800</v>
      </c>
      <c r="F109" s="26">
        <f t="shared" ref="F109:N109" si="57">E109+F107</f>
        <v>10560</v>
      </c>
      <c r="G109" s="26">
        <f t="shared" si="57"/>
        <v>17472</v>
      </c>
      <c r="H109" s="26">
        <f t="shared" si="57"/>
        <v>25766.400000000001</v>
      </c>
      <c r="I109" s="26">
        <f t="shared" si="57"/>
        <v>35719.68</v>
      </c>
      <c r="J109" s="26">
        <f t="shared" si="57"/>
        <v>47663.616000000002</v>
      </c>
      <c r="K109" s="26">
        <f t="shared" si="57"/>
        <v>61996.339200000002</v>
      </c>
      <c r="L109" s="26">
        <f t="shared" si="57"/>
        <v>79195.607040000003</v>
      </c>
      <c r="M109" s="26">
        <f t="shared" si="57"/>
        <v>99834.728448000009</v>
      </c>
      <c r="N109" s="26">
        <f t="shared" si="57"/>
        <v>124601.6741376</v>
      </c>
      <c r="P109" s="2"/>
      <c r="Q109" s="2"/>
      <c r="R109" s="2"/>
    </row>
    <row r="110" spans="2:18" s="5" customFormat="1" ht="15" customHeight="1" x14ac:dyDescent="0.45">
      <c r="B110" s="116"/>
      <c r="C110" s="117" t="s">
        <v>44</v>
      </c>
      <c r="D110" s="17" t="s">
        <v>55</v>
      </c>
      <c r="E110" s="18">
        <f>E102*E$16/$E$4</f>
        <v>4.7999999999999996E-3</v>
      </c>
      <c r="F110" s="18">
        <f>F102*F$16/$E$4-E110</f>
        <v>6.7200000000000011E-3</v>
      </c>
      <c r="G110" s="18">
        <f>G102*G$16/$E$4-F110-E110</f>
        <v>9.2159999999999985E-3</v>
      </c>
      <c r="H110" s="18">
        <f>H102*H$16/$E$4-G110-F110-E110</f>
        <v>1.2441600000000004E-2</v>
      </c>
      <c r="I110" s="18">
        <f>I102*I$16/$E$4-H110-G110-F110-E110</f>
        <v>1.6588800000000008E-2</v>
      </c>
      <c r="J110" s="18">
        <f>J102*J$16/$E$4-I110-H110-G110-F110-E110</f>
        <v>2.1897216000000001E-2</v>
      </c>
      <c r="K110" s="18">
        <f>K102*K$16/$E$4-J110-I110-H110-G110-F110-E110</f>
        <v>2.8665446400000003E-2</v>
      </c>
      <c r="L110" s="18">
        <f>L102*L$16/$E$4-K110-J110-I110-H110-G110-F110-E110</f>
        <v>3.7265080320000005E-2</v>
      </c>
      <c r="M110" s="18">
        <f>M102*M$16/$E$4-L110-K110-J110-I110-H110-G110-F110-E110</f>
        <v>4.8157949951999957E-2</v>
      </c>
      <c r="N110" s="18">
        <f>N102*N$16/$E$4-M110-L110-K110-J110-I110-H110-G110-F110-E110</f>
        <v>6.1917364223999988E-2</v>
      </c>
      <c r="P110" s="2"/>
      <c r="Q110" s="2"/>
      <c r="R110" s="2"/>
    </row>
    <row r="111" spans="2:18" s="5" customFormat="1" ht="15" customHeight="1" x14ac:dyDescent="0.45">
      <c r="B111" s="116"/>
      <c r="C111" s="115"/>
      <c r="D111" s="17" t="s">
        <v>56</v>
      </c>
      <c r="E111" s="19"/>
      <c r="F111" s="19"/>
      <c r="G111" s="19"/>
      <c r="H111" s="19"/>
      <c r="I111" s="19">
        <f>SUM(E110:I110)/5</f>
        <v>9.9532800000000018E-3</v>
      </c>
      <c r="J111" s="19"/>
      <c r="K111" s="19"/>
      <c r="L111" s="19"/>
      <c r="M111" s="19"/>
      <c r="N111" s="19">
        <f>SUM(E110:N110)/10</f>
        <v>2.4766945689599997E-2</v>
      </c>
      <c r="P111" s="2"/>
      <c r="Q111" s="2"/>
      <c r="R111" s="2"/>
    </row>
    <row r="112" spans="2:18" s="5" customFormat="1" ht="15" customHeight="1" x14ac:dyDescent="0.45">
      <c r="B112" s="116"/>
      <c r="C112" s="116"/>
      <c r="D112" s="21" t="s">
        <v>59</v>
      </c>
      <c r="E112" s="25">
        <f>E114</f>
        <v>4800</v>
      </c>
      <c r="F112" s="25">
        <f>F114-E114</f>
        <v>6720</v>
      </c>
      <c r="G112" s="25">
        <f>G114-F114</f>
        <v>9216</v>
      </c>
      <c r="H112" s="25">
        <f t="shared" ref="H112:N112" si="58">H114-G114</f>
        <v>12441.599999999999</v>
      </c>
      <c r="I112" s="25">
        <f t="shared" si="58"/>
        <v>16588.80000000001</v>
      </c>
      <c r="J112" s="25">
        <f t="shared" si="58"/>
        <v>21897.216000000015</v>
      </c>
      <c r="K112" s="25">
        <f t="shared" si="58"/>
        <v>28665.446399999986</v>
      </c>
      <c r="L112" s="25">
        <f t="shared" si="58"/>
        <v>37265.080319999994</v>
      </c>
      <c r="M112" s="25">
        <f t="shared" si="58"/>
        <v>48157.949951999995</v>
      </c>
      <c r="N112" s="25">
        <f t="shared" si="58"/>
        <v>61917.36422399999</v>
      </c>
      <c r="P112" s="2"/>
      <c r="Q112" s="2"/>
      <c r="R112" s="2"/>
    </row>
    <row r="113" spans="2:18" s="5" customFormat="1" ht="15" customHeight="1" x14ac:dyDescent="0.45">
      <c r="B113" s="116"/>
      <c r="C113" s="116"/>
      <c r="D113" s="21" t="s">
        <v>61</v>
      </c>
      <c r="E113" s="25"/>
      <c r="F113" s="25"/>
      <c r="G113" s="25"/>
      <c r="H113" s="25"/>
      <c r="I113" s="25">
        <f>SUM(E112:I112)/5</f>
        <v>9953.2800000000025</v>
      </c>
      <c r="J113" s="25"/>
      <c r="K113" s="25"/>
      <c r="L113" s="25"/>
      <c r="M113" s="25"/>
      <c r="N113" s="25">
        <f>SUM(E112:N112)/10</f>
        <v>24766.945689599997</v>
      </c>
      <c r="P113" s="2"/>
      <c r="Q113" s="2"/>
      <c r="R113" s="2"/>
    </row>
    <row r="114" spans="2:18" s="5" customFormat="1" ht="15" customHeight="1" x14ac:dyDescent="0.45">
      <c r="B114" s="116"/>
      <c r="C114" s="116"/>
      <c r="D114" s="21" t="s">
        <v>60</v>
      </c>
      <c r="E114" s="26">
        <f t="shared" ref="E114:N114" si="59">E104*E$16</f>
        <v>4800</v>
      </c>
      <c r="F114" s="26">
        <f t="shared" si="59"/>
        <v>11520</v>
      </c>
      <c r="G114" s="26">
        <f t="shared" si="59"/>
        <v>20736</v>
      </c>
      <c r="H114" s="26">
        <f t="shared" si="59"/>
        <v>33177.599999999999</v>
      </c>
      <c r="I114" s="26">
        <f t="shared" si="59"/>
        <v>49766.400000000009</v>
      </c>
      <c r="J114" s="26">
        <f t="shared" si="59"/>
        <v>71663.616000000024</v>
      </c>
      <c r="K114" s="26">
        <f t="shared" si="59"/>
        <v>100329.06240000001</v>
      </c>
      <c r="L114" s="26">
        <f t="shared" si="59"/>
        <v>137594.14272</v>
      </c>
      <c r="M114" s="26">
        <f t="shared" si="59"/>
        <v>185752.092672</v>
      </c>
      <c r="N114" s="26">
        <f t="shared" si="59"/>
        <v>247669.45689599999</v>
      </c>
      <c r="P114" s="2"/>
      <c r="Q114" s="2"/>
      <c r="R114" s="2"/>
    </row>
    <row r="115" spans="2:18" ht="15" customHeight="1" x14ac:dyDescent="0.45">
      <c r="B115" s="107" t="s">
        <v>73</v>
      </c>
      <c r="C115" s="115" t="s">
        <v>41</v>
      </c>
      <c r="D115" s="17" t="s">
        <v>55</v>
      </c>
      <c r="E115" s="18">
        <f>E120*$E$4/E$16</f>
        <v>2.5000000000000001E-2</v>
      </c>
      <c r="F115" s="18">
        <f t="shared" ref="F115:N115" si="60">F120*$E$4/F$16</f>
        <v>2.0833333333333332E-2</v>
      </c>
      <c r="G115" s="18">
        <f t="shared" si="60"/>
        <v>1.7361111111111112E-2</v>
      </c>
      <c r="H115" s="18">
        <f t="shared" si="60"/>
        <v>1.4467592592592593E-2</v>
      </c>
      <c r="I115" s="18">
        <f t="shared" si="60"/>
        <v>1.2056327160493827E-2</v>
      </c>
      <c r="J115" s="18">
        <f t="shared" si="60"/>
        <v>1.0046939300411522E-2</v>
      </c>
      <c r="K115" s="18">
        <f t="shared" si="60"/>
        <v>8.372449417009601E-3</v>
      </c>
      <c r="L115" s="18">
        <f t="shared" si="60"/>
        <v>6.9770411808413356E-3</v>
      </c>
      <c r="M115" s="18">
        <f t="shared" si="60"/>
        <v>5.8142009840344462E-3</v>
      </c>
      <c r="N115" s="18">
        <f t="shared" si="60"/>
        <v>4.8451674866953716E-3</v>
      </c>
    </row>
    <row r="116" spans="2:18" ht="15" customHeight="1" x14ac:dyDescent="0.45">
      <c r="B116" s="114"/>
      <c r="C116" s="115"/>
      <c r="D116" s="17" t="s">
        <v>56</v>
      </c>
      <c r="E116" s="18"/>
      <c r="F116" s="18"/>
      <c r="G116" s="18"/>
      <c r="H116" s="18"/>
      <c r="I116" s="44">
        <f>SUM(E115:I115)/5</f>
        <v>1.7943672839506174E-2</v>
      </c>
      <c r="J116" s="18"/>
      <c r="K116" s="18"/>
      <c r="L116" s="18"/>
      <c r="M116" s="18"/>
      <c r="N116" s="19">
        <f>SUM(E115:N115)/10</f>
        <v>1.2577416256652313E-2</v>
      </c>
    </row>
    <row r="117" spans="2:18" ht="15" customHeight="1" x14ac:dyDescent="0.45">
      <c r="B117" s="114"/>
      <c r="C117" s="115"/>
      <c r="D117" s="17" t="s">
        <v>53</v>
      </c>
      <c r="E117" s="18">
        <f>E$18*(E115/E$20)</f>
        <v>2.5000000000000001E-2</v>
      </c>
      <c r="F117" s="18">
        <f t="shared" ref="F117:N117" si="61">F$18*(F115/F$20)</f>
        <v>4.583333333333333E-2</v>
      </c>
      <c r="G117" s="18">
        <f t="shared" si="61"/>
        <v>6.319444444444447E-2</v>
      </c>
      <c r="H117" s="18">
        <f t="shared" si="61"/>
        <v>7.7662037037037016E-2</v>
      </c>
      <c r="I117" s="18">
        <f t="shared" si="61"/>
        <v>8.9718364197530889E-2</v>
      </c>
      <c r="J117" s="18">
        <f t="shared" si="61"/>
        <v>9.9765303497942284E-2</v>
      </c>
      <c r="K117" s="18">
        <f t="shared" si="61"/>
        <v>0.10813775291495203</v>
      </c>
      <c r="L117" s="18">
        <f t="shared" si="61"/>
        <v>0.11511479409579341</v>
      </c>
      <c r="M117" s="18">
        <f t="shared" si="61"/>
        <v>0.120928995079828</v>
      </c>
      <c r="N117" s="18">
        <f t="shared" si="61"/>
        <v>0.12577416256652296</v>
      </c>
    </row>
    <row r="118" spans="2:18" ht="15" customHeight="1" x14ac:dyDescent="0.45">
      <c r="B118" s="114"/>
      <c r="C118" s="116"/>
      <c r="D118" s="21" t="s">
        <v>59</v>
      </c>
      <c r="E118" s="22">
        <f>10*E115</f>
        <v>0.25</v>
      </c>
      <c r="F118" s="22">
        <f t="shared" ref="F118:N118" si="62">10*F115</f>
        <v>0.20833333333333331</v>
      </c>
      <c r="G118" s="22">
        <f t="shared" si="62"/>
        <v>0.1736111111111111</v>
      </c>
      <c r="H118" s="22">
        <f t="shared" si="62"/>
        <v>0.14467592592592593</v>
      </c>
      <c r="I118" s="22">
        <f t="shared" si="62"/>
        <v>0.12056327160493827</v>
      </c>
      <c r="J118" s="22">
        <f t="shared" si="62"/>
        <v>0.10046939300411521</v>
      </c>
      <c r="K118" s="22">
        <f t="shared" si="62"/>
        <v>8.3724494170096003E-2</v>
      </c>
      <c r="L118" s="22">
        <f t="shared" si="62"/>
        <v>6.9770411808413355E-2</v>
      </c>
      <c r="M118" s="22">
        <f t="shared" si="62"/>
        <v>5.8142009840344462E-2</v>
      </c>
      <c r="N118" s="22">
        <f t="shared" si="62"/>
        <v>4.8451674866953717E-2</v>
      </c>
      <c r="R118" s="13"/>
    </row>
    <row r="119" spans="2:18" ht="15" customHeight="1" x14ac:dyDescent="0.45">
      <c r="B119" s="114"/>
      <c r="C119" s="116"/>
      <c r="D119" s="21" t="s">
        <v>60</v>
      </c>
      <c r="E119" s="22">
        <f>10*E117</f>
        <v>0.25</v>
      </c>
      <c r="F119" s="22">
        <f>10*F117</f>
        <v>0.45833333333333331</v>
      </c>
      <c r="G119" s="22">
        <f>10*G117</f>
        <v>0.63194444444444464</v>
      </c>
      <c r="H119" s="22">
        <f t="shared" ref="H119:N119" si="63">10*H117</f>
        <v>0.77662037037037013</v>
      </c>
      <c r="I119" s="22">
        <f t="shared" si="63"/>
        <v>0.89718364197530887</v>
      </c>
      <c r="J119" s="22">
        <f t="shared" si="63"/>
        <v>0.99765303497942281</v>
      </c>
      <c r="K119" s="22">
        <f t="shared" si="63"/>
        <v>1.0813775291495205</v>
      </c>
      <c r="L119" s="22">
        <f t="shared" si="63"/>
        <v>1.1511479409579342</v>
      </c>
      <c r="M119" s="22">
        <f t="shared" si="63"/>
        <v>1.2092899507982799</v>
      </c>
      <c r="N119" s="22">
        <f t="shared" si="63"/>
        <v>1.2577416256652296</v>
      </c>
      <c r="R119" s="13"/>
    </row>
    <row r="120" spans="2:18" ht="15" customHeight="1" x14ac:dyDescent="0.45">
      <c r="B120" s="114"/>
      <c r="C120" s="117" t="s">
        <v>45</v>
      </c>
      <c r="D120" s="17" t="s">
        <v>55</v>
      </c>
      <c r="E120" s="18">
        <f>$E$11*$E$12</f>
        <v>0.03</v>
      </c>
      <c r="F120" s="18">
        <f t="shared" ref="F120:N120" si="64">$E$11*$E$12</f>
        <v>0.03</v>
      </c>
      <c r="G120" s="18">
        <f t="shared" si="64"/>
        <v>0.03</v>
      </c>
      <c r="H120" s="18">
        <f t="shared" si="64"/>
        <v>0.03</v>
      </c>
      <c r="I120" s="18">
        <f t="shared" si="64"/>
        <v>0.03</v>
      </c>
      <c r="J120" s="18">
        <f t="shared" si="64"/>
        <v>0.03</v>
      </c>
      <c r="K120" s="18">
        <f t="shared" si="64"/>
        <v>0.03</v>
      </c>
      <c r="L120" s="18">
        <f t="shared" si="64"/>
        <v>0.03</v>
      </c>
      <c r="M120" s="18">
        <f t="shared" si="64"/>
        <v>0.03</v>
      </c>
      <c r="N120" s="18">
        <f t="shared" si="64"/>
        <v>0.03</v>
      </c>
    </row>
    <row r="121" spans="2:18" ht="15" customHeight="1" x14ac:dyDescent="0.45">
      <c r="B121" s="114"/>
      <c r="C121" s="116"/>
      <c r="D121" s="21" t="s">
        <v>59</v>
      </c>
      <c r="E121" s="23">
        <f>E118*E$16</f>
        <v>30000</v>
      </c>
      <c r="F121" s="23">
        <f t="shared" ref="F121:N121" si="65">F118*F$16</f>
        <v>29999.999999999996</v>
      </c>
      <c r="G121" s="23">
        <f t="shared" si="65"/>
        <v>30000</v>
      </c>
      <c r="H121" s="23">
        <f t="shared" si="65"/>
        <v>30000</v>
      </c>
      <c r="I121" s="23">
        <f t="shared" si="65"/>
        <v>30000</v>
      </c>
      <c r="J121" s="23">
        <f t="shared" si="65"/>
        <v>29999.999999999996</v>
      </c>
      <c r="K121" s="23">
        <f t="shared" si="65"/>
        <v>29999.999999999996</v>
      </c>
      <c r="L121" s="23">
        <f t="shared" si="65"/>
        <v>30000</v>
      </c>
      <c r="M121" s="23">
        <f t="shared" si="65"/>
        <v>30000</v>
      </c>
      <c r="N121" s="23">
        <f t="shared" si="65"/>
        <v>30000</v>
      </c>
    </row>
    <row r="122" spans="2:18" ht="15" customHeight="1" x14ac:dyDescent="0.45">
      <c r="B122" s="114"/>
      <c r="C122" s="116"/>
      <c r="D122" s="21" t="s">
        <v>60</v>
      </c>
      <c r="E122" s="23">
        <f>E121</f>
        <v>30000</v>
      </c>
      <c r="F122" s="23">
        <f>E122+F121</f>
        <v>60000</v>
      </c>
      <c r="G122" s="23">
        <f t="shared" ref="G122" si="66">F122+G121</f>
        <v>90000</v>
      </c>
      <c r="H122" s="23">
        <f t="shared" ref="H122" si="67">G122+H121</f>
        <v>120000</v>
      </c>
      <c r="I122" s="23">
        <f t="shared" ref="I122" si="68">H122+I121</f>
        <v>150000</v>
      </c>
      <c r="J122" s="23">
        <f t="shared" ref="J122" si="69">I122+J121</f>
        <v>180000</v>
      </c>
      <c r="K122" s="23">
        <f t="shared" ref="K122" si="70">J122+K121</f>
        <v>210000</v>
      </c>
      <c r="L122" s="23">
        <f t="shared" ref="L122" si="71">K122+L121</f>
        <v>240000</v>
      </c>
      <c r="M122" s="23">
        <f t="shared" ref="M122" si="72">L122+M121</f>
        <v>270000</v>
      </c>
      <c r="N122" s="23">
        <f t="shared" ref="N122" si="73">M122+N121</f>
        <v>300000</v>
      </c>
    </row>
    <row r="123" spans="2:18" ht="15" customHeight="1" x14ac:dyDescent="0.45">
      <c r="B123" s="114"/>
      <c r="C123" s="117" t="s">
        <v>44</v>
      </c>
      <c r="D123" s="17" t="s">
        <v>55</v>
      </c>
      <c r="E123" s="18">
        <f>E117*E$16/$E$4</f>
        <v>0.03</v>
      </c>
      <c r="F123" s="18">
        <f>F117*F$16/$E$4-E123</f>
        <v>3.599999999999999E-2</v>
      </c>
      <c r="G123" s="18">
        <f>G117*G$16/$E$4-F123-E123</f>
        <v>4.3200000000000044E-2</v>
      </c>
      <c r="H123" s="18">
        <f>H117*H$16/$E$4-G123-F123-E123</f>
        <v>5.1839999999999928E-2</v>
      </c>
      <c r="I123" s="18">
        <f>I117*I$16/$E$4-H123-G123-F123-E123</f>
        <v>6.2208000000000083E-2</v>
      </c>
      <c r="J123" s="18">
        <f>J117*J$16/$E$4-I123-H123-G123-F123-E123</f>
        <v>7.4649599999999636E-2</v>
      </c>
      <c r="K123" s="18">
        <f>K117*K$16/$E$4-J123-I123-H123-G123-F123-E123</f>
        <v>8.9579520000000509E-2</v>
      </c>
      <c r="L123" s="18">
        <f>L117*L$16/$E$4-K123-J123-I123-H123-G123-F123-E123</f>
        <v>0.10749542400000009</v>
      </c>
      <c r="M123" s="18">
        <f>M117*M$16/$E$4-L123-K123-J123-I123-H123-G123-F123-E123</f>
        <v>0.12899450880000082</v>
      </c>
      <c r="N123" s="18">
        <f>N117*N$16/$E$4-M123-L123-K123-J123-I123-H123-G123-F123-E123</f>
        <v>0.1547934105599976</v>
      </c>
      <c r="R123" s="16"/>
    </row>
    <row r="124" spans="2:18" ht="15" customHeight="1" x14ac:dyDescent="0.45">
      <c r="B124" s="114"/>
      <c r="C124" s="115"/>
      <c r="D124" s="17" t="s">
        <v>56</v>
      </c>
      <c r="E124" s="19"/>
      <c r="F124" s="19"/>
      <c r="G124" s="19"/>
      <c r="H124" s="19"/>
      <c r="I124" s="19">
        <f>SUM(E123:I123)/5</f>
        <v>4.4649600000000012E-2</v>
      </c>
      <c r="J124" s="19"/>
      <c r="K124" s="19"/>
      <c r="L124" s="19"/>
      <c r="M124" s="19"/>
      <c r="N124" s="19">
        <f>SUM(E123:N123)/10</f>
        <v>7.7876046335999885E-2</v>
      </c>
    </row>
    <row r="125" spans="2:18" ht="15" customHeight="1" x14ac:dyDescent="0.45">
      <c r="B125" s="114"/>
      <c r="C125" s="116"/>
      <c r="D125" s="21" t="s">
        <v>59</v>
      </c>
      <c r="E125" s="24">
        <f>E127</f>
        <v>30000</v>
      </c>
      <c r="F125" s="24">
        <f>F127-E127</f>
        <v>36000</v>
      </c>
      <c r="G125" s="24">
        <f t="shared" ref="G125" si="74">G127-F127</f>
        <v>43200.000000000029</v>
      </c>
      <c r="H125" s="24">
        <f t="shared" ref="H125" si="75">H127-G127</f>
        <v>51839.999999999913</v>
      </c>
      <c r="I125" s="24">
        <f t="shared" ref="I125" si="76">I127-H127</f>
        <v>62208.000000000116</v>
      </c>
      <c r="J125" s="24">
        <f t="shared" ref="J125" si="77">J127-I127</f>
        <v>74649.599999999627</v>
      </c>
      <c r="K125" s="24">
        <f t="shared" ref="K125" si="78">K127-J127</f>
        <v>89579.520000000542</v>
      </c>
      <c r="L125" s="24">
        <f t="shared" ref="L125" si="79">L127-K127</f>
        <v>107495.42400000017</v>
      </c>
      <c r="M125" s="24">
        <f t="shared" ref="M125" si="80">M127-L127</f>
        <v>128994.50880000071</v>
      </c>
      <c r="N125" s="24">
        <f t="shared" ref="N125" si="81">N127-M127</f>
        <v>154793.41055999778</v>
      </c>
    </row>
    <row r="126" spans="2:18" ht="15" customHeight="1" x14ac:dyDescent="0.45">
      <c r="B126" s="114"/>
      <c r="C126" s="116"/>
      <c r="D126" s="21" t="s">
        <v>61</v>
      </c>
      <c r="E126" s="24"/>
      <c r="F126" s="24"/>
      <c r="G126" s="24"/>
      <c r="H126" s="24"/>
      <c r="I126" s="24">
        <f>SUM(E125:I125)/5</f>
        <v>44649.600000000013</v>
      </c>
      <c r="J126" s="24"/>
      <c r="K126" s="24"/>
      <c r="L126" s="24"/>
      <c r="M126" s="24"/>
      <c r="N126" s="24">
        <f>SUM(E125:N125)/10</f>
        <v>77876.046335999883</v>
      </c>
    </row>
    <row r="127" spans="2:18" ht="15" customHeight="1" x14ac:dyDescent="0.45">
      <c r="B127" s="108"/>
      <c r="C127" s="116"/>
      <c r="D127" s="21" t="s">
        <v>60</v>
      </c>
      <c r="E127" s="23">
        <f t="shared" ref="E127:N127" si="82">E119*E$16</f>
        <v>30000</v>
      </c>
      <c r="F127" s="23">
        <f t="shared" si="82"/>
        <v>66000</v>
      </c>
      <c r="G127" s="23">
        <f t="shared" si="82"/>
        <v>109200.00000000003</v>
      </c>
      <c r="H127" s="23">
        <f t="shared" si="82"/>
        <v>161039.99999999994</v>
      </c>
      <c r="I127" s="23">
        <f t="shared" si="82"/>
        <v>223248.00000000006</v>
      </c>
      <c r="J127" s="23">
        <f t="shared" si="82"/>
        <v>297897.59999999969</v>
      </c>
      <c r="K127" s="23">
        <f t="shared" si="82"/>
        <v>387477.12000000023</v>
      </c>
      <c r="L127" s="23">
        <f t="shared" si="82"/>
        <v>494972.5440000004</v>
      </c>
      <c r="M127" s="23">
        <f t="shared" si="82"/>
        <v>623967.05280000111</v>
      </c>
      <c r="N127" s="23">
        <f t="shared" si="82"/>
        <v>778760.46335999889</v>
      </c>
    </row>
    <row r="128" spans="2:18" s="5" customFormat="1" ht="15" customHeight="1" x14ac:dyDescent="0.45">
      <c r="B128" s="116" t="s">
        <v>18</v>
      </c>
      <c r="C128" s="115" t="s">
        <v>41</v>
      </c>
      <c r="D128" s="17" t="s">
        <v>55</v>
      </c>
      <c r="E128" s="18">
        <f>E88+E101+E115</f>
        <v>6.2333333333333331E-2</v>
      </c>
      <c r="F128" s="18">
        <f t="shared" ref="F128:N128" si="83">F88+F101+F115</f>
        <v>5.2611111111111122E-2</v>
      </c>
      <c r="G128" s="18">
        <f t="shared" si="83"/>
        <v>4.4509259259259248E-2</v>
      </c>
      <c r="H128" s="18">
        <f t="shared" si="83"/>
        <v>3.7757716049382724E-2</v>
      </c>
      <c r="I128" s="18">
        <f t="shared" si="83"/>
        <v>3.2131430041152258E-2</v>
      </c>
      <c r="J128" s="18">
        <f t="shared" si="83"/>
        <v>2.7442858367626902E-2</v>
      </c>
      <c r="K128" s="18">
        <f t="shared" si="83"/>
        <v>2.3535715306355731E-2</v>
      </c>
      <c r="L128" s="18">
        <f t="shared" si="83"/>
        <v>2.0279762755296443E-2</v>
      </c>
      <c r="M128" s="18">
        <f t="shared" si="83"/>
        <v>1.7566468962747026E-2</v>
      </c>
      <c r="N128" s="18">
        <f t="shared" si="83"/>
        <v>1.5305390802289209E-2</v>
      </c>
      <c r="P128" s="2"/>
      <c r="Q128" s="2"/>
      <c r="R128" s="2"/>
    </row>
    <row r="129" spans="1:18" s="5" customFormat="1" ht="15" customHeight="1" x14ac:dyDescent="0.45">
      <c r="B129" s="116"/>
      <c r="C129" s="115"/>
      <c r="D129" s="17" t="s">
        <v>56</v>
      </c>
      <c r="E129" s="18"/>
      <c r="F129" s="18"/>
      <c r="G129" s="18"/>
      <c r="H129" s="18"/>
      <c r="I129" s="44">
        <f>SUM(E128:I128)/5</f>
        <v>4.5868569958847735E-2</v>
      </c>
      <c r="J129" s="18"/>
      <c r="K129" s="18"/>
      <c r="L129" s="18"/>
      <c r="M129" s="18"/>
      <c r="N129" s="19">
        <f>SUM(E128:N128)/10</f>
        <v>3.3347304598855397E-2</v>
      </c>
      <c r="P129" s="2"/>
      <c r="Q129" s="2"/>
      <c r="R129" s="2"/>
    </row>
    <row r="130" spans="1:18" ht="15" customHeight="1" x14ac:dyDescent="0.45">
      <c r="B130" s="116"/>
      <c r="C130" s="115"/>
      <c r="D130" s="17" t="s">
        <v>53</v>
      </c>
      <c r="E130" s="18">
        <f>E90+E102</f>
        <v>3.7333333333333329E-2</v>
      </c>
      <c r="F130" s="18">
        <f t="shared" ref="F130:N130" si="84">F90+F102</f>
        <v>6.9111111111111123E-2</v>
      </c>
      <c r="G130" s="18">
        <f t="shared" si="84"/>
        <v>9.6259259259259253E-2</v>
      </c>
      <c r="H130" s="18">
        <f t="shared" si="84"/>
        <v>0.1195493827160494</v>
      </c>
      <c r="I130" s="18">
        <f t="shared" si="84"/>
        <v>0.13962448559670781</v>
      </c>
      <c r="J130" s="18">
        <f t="shared" si="84"/>
        <v>0.1570204046639232</v>
      </c>
      <c r="K130" s="18">
        <f t="shared" si="84"/>
        <v>0.17218367055326933</v>
      </c>
      <c r="L130" s="18">
        <f t="shared" si="84"/>
        <v>0.18548639212772444</v>
      </c>
      <c r="M130" s="18">
        <f t="shared" si="84"/>
        <v>0.19723866010643704</v>
      </c>
      <c r="N130" s="18">
        <f t="shared" si="84"/>
        <v>0.20769888342203088</v>
      </c>
    </row>
    <row r="131" spans="1:18" ht="15" customHeight="1" x14ac:dyDescent="0.45">
      <c r="B131" s="116"/>
      <c r="C131" s="116"/>
      <c r="D131" s="21" t="s">
        <v>59</v>
      </c>
      <c r="E131" s="22">
        <f>10*E128</f>
        <v>0.62333333333333329</v>
      </c>
      <c r="F131" s="22">
        <f t="shared" ref="F131:N131" si="85">10*F128</f>
        <v>0.5261111111111112</v>
      </c>
      <c r="G131" s="22">
        <f t="shared" si="85"/>
        <v>0.44509259259259248</v>
      </c>
      <c r="H131" s="22">
        <f t="shared" si="85"/>
        <v>0.37757716049382722</v>
      </c>
      <c r="I131" s="22">
        <f t="shared" si="85"/>
        <v>0.32131430041152259</v>
      </c>
      <c r="J131" s="22">
        <f t="shared" si="85"/>
        <v>0.27442858367626899</v>
      </c>
      <c r="K131" s="22">
        <f t="shared" si="85"/>
        <v>0.23535715306355731</v>
      </c>
      <c r="L131" s="22">
        <f t="shared" si="85"/>
        <v>0.20279762755296443</v>
      </c>
      <c r="M131" s="22">
        <f t="shared" si="85"/>
        <v>0.17566468962747026</v>
      </c>
      <c r="N131" s="22">
        <f t="shared" si="85"/>
        <v>0.15305390802289209</v>
      </c>
    </row>
    <row r="132" spans="1:18" ht="15" customHeight="1" x14ac:dyDescent="0.45">
      <c r="B132" s="116"/>
      <c r="C132" s="116"/>
      <c r="D132" s="21" t="s">
        <v>60</v>
      </c>
      <c r="E132" s="22">
        <f>10*E130</f>
        <v>0.37333333333333329</v>
      </c>
      <c r="F132" s="22">
        <f>10*F130</f>
        <v>0.69111111111111123</v>
      </c>
      <c r="G132" s="22">
        <f>10*G130</f>
        <v>0.96259259259259256</v>
      </c>
      <c r="H132" s="22">
        <f t="shared" ref="H132:N132" si="86">10*H130</f>
        <v>1.195493827160494</v>
      </c>
      <c r="I132" s="22">
        <f t="shared" si="86"/>
        <v>1.3962448559670781</v>
      </c>
      <c r="J132" s="22">
        <f t="shared" si="86"/>
        <v>1.570204046639232</v>
      </c>
      <c r="K132" s="22">
        <f t="shared" si="86"/>
        <v>1.7218367055326933</v>
      </c>
      <c r="L132" s="22">
        <f t="shared" si="86"/>
        <v>1.8548639212772444</v>
      </c>
      <c r="M132" s="22">
        <f t="shared" si="86"/>
        <v>1.9723866010643705</v>
      </c>
      <c r="N132" s="22">
        <f t="shared" si="86"/>
        <v>2.0769888342203089</v>
      </c>
    </row>
    <row r="133" spans="1:18" ht="15" customHeight="1" x14ac:dyDescent="0.45">
      <c r="B133" s="116"/>
      <c r="C133" s="117" t="s">
        <v>45</v>
      </c>
      <c r="D133" s="17" t="s">
        <v>55</v>
      </c>
      <c r="E133" s="18">
        <f>E93+E105+E120</f>
        <v>7.4800000000000005E-2</v>
      </c>
      <c r="F133" s="18">
        <f t="shared" ref="F133:N133" si="87">F93+F105+F120</f>
        <v>7.5760000000000022E-2</v>
      </c>
      <c r="G133" s="18">
        <f t="shared" si="87"/>
        <v>7.691199999999998E-2</v>
      </c>
      <c r="H133" s="18">
        <f t="shared" si="87"/>
        <v>7.8294400000000014E-2</v>
      </c>
      <c r="I133" s="18">
        <f t="shared" si="87"/>
        <v>7.9953279999999988E-2</v>
      </c>
      <c r="J133" s="18">
        <f t="shared" si="87"/>
        <v>8.1943936000000051E-2</v>
      </c>
      <c r="K133" s="18">
        <f t="shared" si="87"/>
        <v>8.4332723199999987E-2</v>
      </c>
      <c r="L133" s="18">
        <f t="shared" si="87"/>
        <v>8.7199267839999983E-2</v>
      </c>
      <c r="M133" s="18">
        <f t="shared" si="87"/>
        <v>9.0639121407999929E-2</v>
      </c>
      <c r="N133" s="18">
        <f t="shared" si="87"/>
        <v>9.4766945689600049E-2</v>
      </c>
    </row>
    <row r="134" spans="1:18" ht="15" customHeight="1" x14ac:dyDescent="0.45">
      <c r="B134" s="116"/>
      <c r="C134" s="115"/>
      <c r="D134" s="17" t="s">
        <v>56</v>
      </c>
      <c r="E134" s="18"/>
      <c r="F134" s="18"/>
      <c r="G134" s="18"/>
      <c r="H134" s="18"/>
      <c r="I134" s="19">
        <f>SUM(E133:I133)/5</f>
        <v>7.7143935999999996E-2</v>
      </c>
      <c r="J134" s="19"/>
      <c r="K134" s="19"/>
      <c r="L134" s="19"/>
      <c r="M134" s="19"/>
      <c r="N134" s="19">
        <f>SUM(E133:N133)/10</f>
        <v>8.2460167413759999E-2</v>
      </c>
    </row>
    <row r="135" spans="1:18" ht="15" customHeight="1" x14ac:dyDescent="0.45">
      <c r="B135" s="116"/>
      <c r="C135" s="116"/>
      <c r="D135" s="21" t="s">
        <v>59</v>
      </c>
      <c r="E135" s="24">
        <f t="shared" ref="E135:N135" si="88">E131*E$16</f>
        <v>74800</v>
      </c>
      <c r="F135" s="24">
        <f t="shared" si="88"/>
        <v>75760.000000000015</v>
      </c>
      <c r="G135" s="24">
        <f t="shared" si="88"/>
        <v>76911.999999999985</v>
      </c>
      <c r="H135" s="24">
        <f t="shared" si="88"/>
        <v>78294.400000000009</v>
      </c>
      <c r="I135" s="24">
        <f t="shared" si="88"/>
        <v>79953.279999999984</v>
      </c>
      <c r="J135" s="24">
        <f t="shared" si="88"/>
        <v>81943.936000000045</v>
      </c>
      <c r="K135" s="24">
        <f t="shared" si="88"/>
        <v>84332.723199999979</v>
      </c>
      <c r="L135" s="24">
        <f t="shared" si="88"/>
        <v>87199.267839999971</v>
      </c>
      <c r="M135" s="24">
        <f t="shared" si="88"/>
        <v>90639.121407999919</v>
      </c>
      <c r="N135" s="24">
        <f t="shared" si="88"/>
        <v>94766.945689600048</v>
      </c>
    </row>
    <row r="136" spans="1:18" ht="15" customHeight="1" x14ac:dyDescent="0.45">
      <c r="B136" s="116"/>
      <c r="C136" s="116"/>
      <c r="D136" s="21" t="s">
        <v>61</v>
      </c>
      <c r="E136" s="23"/>
      <c r="F136" s="23"/>
      <c r="G136" s="23"/>
      <c r="H136" s="23"/>
      <c r="I136" s="24">
        <f>SUM(E135:I135)/5</f>
        <v>77143.936000000002</v>
      </c>
      <c r="J136" s="24"/>
      <c r="K136" s="24"/>
      <c r="L136" s="24"/>
      <c r="M136" s="24"/>
      <c r="N136" s="24">
        <f>SUM(E135:N135)/10</f>
        <v>82460.167413760006</v>
      </c>
    </row>
    <row r="137" spans="1:18" ht="15" customHeight="1" x14ac:dyDescent="0.45">
      <c r="B137" s="116"/>
      <c r="C137" s="116"/>
      <c r="D137" s="21" t="s">
        <v>60</v>
      </c>
      <c r="E137" s="23">
        <f>E135</f>
        <v>74800</v>
      </c>
      <c r="F137" s="23">
        <f t="shared" ref="F137:N137" si="89">E137+F135</f>
        <v>150560</v>
      </c>
      <c r="G137" s="23">
        <f t="shared" si="89"/>
        <v>227472</v>
      </c>
      <c r="H137" s="23">
        <f t="shared" si="89"/>
        <v>305766.40000000002</v>
      </c>
      <c r="I137" s="23">
        <f t="shared" si="89"/>
        <v>385719.68</v>
      </c>
      <c r="J137" s="23">
        <f t="shared" si="89"/>
        <v>467663.61600000004</v>
      </c>
      <c r="K137" s="23">
        <f t="shared" si="89"/>
        <v>551996.33920000005</v>
      </c>
      <c r="L137" s="23">
        <f t="shared" si="89"/>
        <v>639195.60704000003</v>
      </c>
      <c r="M137" s="23">
        <f t="shared" si="89"/>
        <v>729834.72844799992</v>
      </c>
      <c r="N137" s="23">
        <f t="shared" si="89"/>
        <v>824601.6741376</v>
      </c>
    </row>
    <row r="138" spans="1:18" ht="15" customHeight="1" x14ac:dyDescent="0.45">
      <c r="B138" s="116"/>
      <c r="C138" s="117" t="s">
        <v>44</v>
      </c>
      <c r="D138" s="17" t="s">
        <v>55</v>
      </c>
      <c r="E138" s="18">
        <f>E96+E110+E123</f>
        <v>7.4800000000000005E-2</v>
      </c>
      <c r="F138" s="18">
        <f t="shared" ref="F138:N138" si="90">F96+F110+F123</f>
        <v>9.0719999999999995E-2</v>
      </c>
      <c r="G138" s="18">
        <f t="shared" si="90"/>
        <v>0.11001600000000006</v>
      </c>
      <c r="H138" s="18">
        <f t="shared" si="90"/>
        <v>0.13340159999999995</v>
      </c>
      <c r="I138" s="18">
        <f t="shared" si="90"/>
        <v>0.16174080000000007</v>
      </c>
      <c r="J138" s="18">
        <f t="shared" si="90"/>
        <v>0.19607961599999968</v>
      </c>
      <c r="K138" s="18">
        <f t="shared" si="90"/>
        <v>0.23768432640000048</v>
      </c>
      <c r="L138" s="18">
        <f t="shared" si="90"/>
        <v>0.2880877363199999</v>
      </c>
      <c r="M138" s="18">
        <f t="shared" si="90"/>
        <v>0.34914513715200102</v>
      </c>
      <c r="N138" s="18">
        <f t="shared" si="90"/>
        <v>0.42310198886399764</v>
      </c>
    </row>
    <row r="139" spans="1:18" ht="15" customHeight="1" x14ac:dyDescent="0.45">
      <c r="A139" s="9"/>
      <c r="B139" s="116"/>
      <c r="C139" s="115"/>
      <c r="D139" s="17" t="s">
        <v>56</v>
      </c>
      <c r="E139" s="19"/>
      <c r="F139" s="19"/>
      <c r="G139" s="19"/>
      <c r="H139" s="19"/>
      <c r="I139" s="19">
        <f>SUM(E138:I138)/5</f>
        <v>0.11413568</v>
      </c>
      <c r="J139" s="19"/>
      <c r="K139" s="19"/>
      <c r="L139" s="19"/>
      <c r="M139" s="19"/>
      <c r="N139" s="19">
        <f>SUM(E138:N138)/10</f>
        <v>0.20647772047359986</v>
      </c>
      <c r="O139" s="9"/>
    </row>
    <row r="140" spans="1:18" ht="15" customHeight="1" x14ac:dyDescent="0.45">
      <c r="B140" s="116"/>
      <c r="C140" s="116"/>
      <c r="D140" s="21" t="s">
        <v>59</v>
      </c>
      <c r="E140" s="24">
        <f>E142</f>
        <v>44799.999999999993</v>
      </c>
      <c r="F140" s="24">
        <f>F142-E142</f>
        <v>54720.000000000022</v>
      </c>
      <c r="G140" s="24">
        <f>G142-F142</f>
        <v>66815.999999999985</v>
      </c>
      <c r="H140" s="24">
        <f t="shared" ref="H140:N140" si="91">H142-G142</f>
        <v>81561.600000000035</v>
      </c>
      <c r="I140" s="24">
        <f t="shared" si="91"/>
        <v>99532.79999999993</v>
      </c>
      <c r="J140" s="24">
        <f t="shared" si="91"/>
        <v>121430.01600000012</v>
      </c>
      <c r="K140" s="24">
        <f t="shared" si="91"/>
        <v>148104.8064</v>
      </c>
      <c r="L140" s="24">
        <f t="shared" si="91"/>
        <v>180592.31231999991</v>
      </c>
      <c r="M140" s="24">
        <f t="shared" si="91"/>
        <v>220150.62835200003</v>
      </c>
      <c r="N140" s="24">
        <f t="shared" si="91"/>
        <v>268308.5783040002</v>
      </c>
    </row>
    <row r="141" spans="1:18" ht="15" customHeight="1" x14ac:dyDescent="0.45">
      <c r="B141" s="116"/>
      <c r="C141" s="116"/>
      <c r="D141" s="21" t="s">
        <v>61</v>
      </c>
      <c r="E141" s="24"/>
      <c r="F141" s="24"/>
      <c r="G141" s="24"/>
      <c r="H141" s="24"/>
      <c r="I141" s="24">
        <f>SUM(E140:I140)/5</f>
        <v>69486.079999999987</v>
      </c>
      <c r="J141" s="24"/>
      <c r="K141" s="24"/>
      <c r="L141" s="24"/>
      <c r="M141" s="24"/>
      <c r="N141" s="24">
        <f>SUM(E140:N140)/10</f>
        <v>128601.67413760003</v>
      </c>
    </row>
    <row r="142" spans="1:18" ht="15" customHeight="1" x14ac:dyDescent="0.45">
      <c r="B142" s="116"/>
      <c r="C142" s="116"/>
      <c r="D142" s="21" t="s">
        <v>60</v>
      </c>
      <c r="E142" s="23">
        <f t="shared" ref="E142:N142" si="92">E132*E$16</f>
        <v>44799.999999999993</v>
      </c>
      <c r="F142" s="23">
        <f t="shared" si="92"/>
        <v>99520.000000000015</v>
      </c>
      <c r="G142" s="23">
        <f t="shared" si="92"/>
        <v>166336</v>
      </c>
      <c r="H142" s="23">
        <f t="shared" si="92"/>
        <v>247897.60000000003</v>
      </c>
      <c r="I142" s="23">
        <f t="shared" si="92"/>
        <v>347430.39999999997</v>
      </c>
      <c r="J142" s="23">
        <f t="shared" si="92"/>
        <v>468860.41600000008</v>
      </c>
      <c r="K142" s="23">
        <f t="shared" si="92"/>
        <v>616965.22240000009</v>
      </c>
      <c r="L142" s="23">
        <f t="shared" si="92"/>
        <v>797557.53472</v>
      </c>
      <c r="M142" s="23">
        <f t="shared" si="92"/>
        <v>1017708.163072</v>
      </c>
      <c r="N142" s="23">
        <f t="shared" si="92"/>
        <v>1286016.7413760002</v>
      </c>
    </row>
    <row r="143" spans="1:18" ht="15" customHeight="1" x14ac:dyDescent="0.45">
      <c r="B143" s="1"/>
      <c r="C143" s="1"/>
      <c r="D143" s="48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8" ht="15" customHeight="1" x14ac:dyDescent="0.45">
      <c r="B144" s="125" t="s">
        <v>39</v>
      </c>
      <c r="C144" s="125" t="s">
        <v>69</v>
      </c>
      <c r="D144" s="125" t="s">
        <v>68</v>
      </c>
      <c r="E144" s="90" t="s">
        <v>3</v>
      </c>
      <c r="F144" s="90" t="s">
        <v>4</v>
      </c>
      <c r="G144" s="90" t="s">
        <v>5</v>
      </c>
      <c r="H144" s="90" t="s">
        <v>6</v>
      </c>
      <c r="I144" s="90" t="s">
        <v>7</v>
      </c>
      <c r="J144" s="90" t="s">
        <v>8</v>
      </c>
      <c r="K144" s="90" t="s">
        <v>9</v>
      </c>
      <c r="L144" s="90" t="s">
        <v>10</v>
      </c>
      <c r="M144" s="90" t="s">
        <v>11</v>
      </c>
      <c r="N144" s="90" t="s">
        <v>12</v>
      </c>
    </row>
    <row r="145" spans="2:18" ht="15" customHeight="1" x14ac:dyDescent="0.45">
      <c r="B145" s="126"/>
      <c r="C145" s="126"/>
      <c r="D145" s="126"/>
      <c r="E145" s="91"/>
      <c r="F145" s="91"/>
      <c r="G145" s="91"/>
      <c r="H145" s="91"/>
      <c r="I145" s="91"/>
      <c r="J145" s="91"/>
      <c r="K145" s="91"/>
      <c r="L145" s="91"/>
      <c r="M145" s="91"/>
      <c r="N145" s="91"/>
    </row>
    <row r="146" spans="2:18" s="5" customFormat="1" ht="15" customHeight="1" x14ac:dyDescent="0.45">
      <c r="B146" s="108" t="s">
        <v>16</v>
      </c>
      <c r="C146" s="122">
        <v>20000</v>
      </c>
      <c r="D146" s="59" t="s">
        <v>19</v>
      </c>
      <c r="E146" s="29">
        <f>E$91*$C146/20</f>
        <v>333.33333333333331</v>
      </c>
      <c r="F146" s="29">
        <f t="shared" ref="F146:N146" si="93">F$91*$C146/20</f>
        <v>277.77777777777783</v>
      </c>
      <c r="G146" s="29">
        <f t="shared" si="93"/>
        <v>231.48148148148138</v>
      </c>
      <c r="H146" s="29">
        <f t="shared" si="93"/>
        <v>192.90123456790133</v>
      </c>
      <c r="I146" s="29">
        <f t="shared" si="93"/>
        <v>160.75102880658432</v>
      </c>
      <c r="J146" s="29">
        <f t="shared" si="93"/>
        <v>133.95919067215377</v>
      </c>
      <c r="K146" s="29">
        <f t="shared" si="93"/>
        <v>111.6326588934613</v>
      </c>
      <c r="L146" s="29">
        <f t="shared" si="93"/>
        <v>93.027215744551086</v>
      </c>
      <c r="M146" s="29">
        <f t="shared" si="93"/>
        <v>77.522679787125782</v>
      </c>
      <c r="N146" s="29">
        <f t="shared" si="93"/>
        <v>64.602233155938379</v>
      </c>
      <c r="P146" s="2"/>
      <c r="Q146" s="2"/>
      <c r="R146" s="2"/>
    </row>
    <row r="147" spans="2:18" s="5" customFormat="1" ht="15" customHeight="1" x14ac:dyDescent="0.45">
      <c r="B147" s="116"/>
      <c r="C147" s="123"/>
      <c r="D147" s="21" t="s">
        <v>22</v>
      </c>
      <c r="E147" s="29"/>
      <c r="F147" s="29"/>
      <c r="G147" s="29"/>
      <c r="H147" s="29"/>
      <c r="I147" s="29">
        <f>SUM(E146:I146)/5</f>
        <v>239.24897119341563</v>
      </c>
      <c r="J147" s="29"/>
      <c r="K147" s="29"/>
      <c r="L147" s="29"/>
      <c r="M147" s="29"/>
      <c r="N147" s="29">
        <f>SUM(E146:N146)/10</f>
        <v>167.69888342203083</v>
      </c>
      <c r="P147" s="2"/>
      <c r="Q147" s="2"/>
      <c r="R147" s="2"/>
    </row>
    <row r="148" spans="2:18" s="5" customFormat="1" ht="15" customHeight="1" x14ac:dyDescent="0.45">
      <c r="B148" s="116"/>
      <c r="C148" s="123"/>
      <c r="D148" s="21" t="s">
        <v>52</v>
      </c>
      <c r="E148" s="29">
        <f>E$92*$C146/20</f>
        <v>333.33333333333331</v>
      </c>
      <c r="F148" s="29">
        <f t="shared" ref="F148:N148" si="94">F$92*$C146/20</f>
        <v>611.11111111111109</v>
      </c>
      <c r="G148" s="29">
        <f t="shared" si="94"/>
        <v>842.5925925925925</v>
      </c>
      <c r="H148" s="29">
        <f t="shared" si="94"/>
        <v>1035.4938271604938</v>
      </c>
      <c r="I148" s="29">
        <f t="shared" si="94"/>
        <v>1196.2448559670781</v>
      </c>
      <c r="J148" s="29">
        <f t="shared" si="94"/>
        <v>1330.204046639232</v>
      </c>
      <c r="K148" s="29">
        <f t="shared" si="94"/>
        <v>1441.8367055326933</v>
      </c>
      <c r="L148" s="29">
        <f t="shared" si="94"/>
        <v>1534.8639212772443</v>
      </c>
      <c r="M148" s="29">
        <f t="shared" si="94"/>
        <v>1612.3866010643703</v>
      </c>
      <c r="N148" s="29">
        <f t="shared" si="94"/>
        <v>1676.9888342203089</v>
      </c>
      <c r="P148" s="2"/>
      <c r="Q148" s="2"/>
      <c r="R148" s="2"/>
    </row>
    <row r="149" spans="2:18" s="5" customFormat="1" ht="15" customHeight="1" x14ac:dyDescent="0.45">
      <c r="B149" s="116"/>
      <c r="C149" s="123">
        <v>400000</v>
      </c>
      <c r="D149" s="59" t="s">
        <v>19</v>
      </c>
      <c r="E149" s="29">
        <f>E$91*$C149/20</f>
        <v>6666.6666666666661</v>
      </c>
      <c r="F149" s="29">
        <f t="shared" ref="F149:N149" si="95">F$91*$C149/20</f>
        <v>5555.5555555555566</v>
      </c>
      <c r="G149" s="29">
        <f t="shared" si="95"/>
        <v>4629.6296296296277</v>
      </c>
      <c r="H149" s="29">
        <f t="shared" si="95"/>
        <v>3858.0246913580258</v>
      </c>
      <c r="I149" s="29">
        <f t="shared" si="95"/>
        <v>3215.0205761316861</v>
      </c>
      <c r="J149" s="29">
        <f t="shared" si="95"/>
        <v>2679.1838134430755</v>
      </c>
      <c r="K149" s="29">
        <f t="shared" si="95"/>
        <v>2232.6531778692261</v>
      </c>
      <c r="L149" s="29">
        <f t="shared" si="95"/>
        <v>1860.5443148910217</v>
      </c>
      <c r="M149" s="29">
        <f t="shared" si="95"/>
        <v>1550.4535957425157</v>
      </c>
      <c r="N149" s="29">
        <f t="shared" si="95"/>
        <v>1292.0446631187676</v>
      </c>
      <c r="P149" s="2"/>
      <c r="Q149" s="2"/>
      <c r="R149" s="2"/>
    </row>
    <row r="150" spans="2:18" s="5" customFormat="1" ht="15" customHeight="1" x14ac:dyDescent="0.45">
      <c r="B150" s="116"/>
      <c r="C150" s="123"/>
      <c r="D150" s="21" t="s">
        <v>22</v>
      </c>
      <c r="E150" s="29"/>
      <c r="F150" s="29"/>
      <c r="G150" s="29"/>
      <c r="H150" s="29"/>
      <c r="I150" s="29">
        <f>SUM(E149:I149)/5</f>
        <v>4784.9794238683126</v>
      </c>
      <c r="J150" s="29"/>
      <c r="K150" s="29"/>
      <c r="L150" s="29"/>
      <c r="M150" s="29"/>
      <c r="N150" s="29">
        <f>SUM(E149:N149)/10</f>
        <v>3353.977668440617</v>
      </c>
      <c r="P150" s="2"/>
      <c r="Q150" s="2"/>
      <c r="R150" s="2"/>
    </row>
    <row r="151" spans="2:18" s="5" customFormat="1" ht="15" customHeight="1" x14ac:dyDescent="0.45">
      <c r="B151" s="116"/>
      <c r="C151" s="123"/>
      <c r="D151" s="21" t="s">
        <v>52</v>
      </c>
      <c r="E151" s="29">
        <f>E$92*$C149/20</f>
        <v>6666.6666666666661</v>
      </c>
      <c r="F151" s="29">
        <f t="shared" ref="F151:N151" si="96">F$92*$C149/20</f>
        <v>12222.222222222223</v>
      </c>
      <c r="G151" s="29">
        <f t="shared" si="96"/>
        <v>16851.85185185185</v>
      </c>
      <c r="H151" s="29">
        <f t="shared" si="96"/>
        <v>20709.876543209877</v>
      </c>
      <c r="I151" s="29">
        <f t="shared" si="96"/>
        <v>23924.897119341564</v>
      </c>
      <c r="J151" s="29">
        <f t="shared" si="96"/>
        <v>26604.08093278464</v>
      </c>
      <c r="K151" s="29">
        <f t="shared" si="96"/>
        <v>28836.734110653866</v>
      </c>
      <c r="L151" s="29">
        <f t="shared" si="96"/>
        <v>30697.278425544886</v>
      </c>
      <c r="M151" s="29">
        <f t="shared" si="96"/>
        <v>32247.732021287411</v>
      </c>
      <c r="N151" s="29">
        <f t="shared" si="96"/>
        <v>33539.77668440617</v>
      </c>
      <c r="P151" s="2"/>
      <c r="Q151" s="2"/>
      <c r="R151" s="2"/>
    </row>
    <row r="152" spans="2:18" s="5" customFormat="1" ht="15" customHeight="1" x14ac:dyDescent="0.45">
      <c r="B152" s="115"/>
      <c r="C152" s="124">
        <v>1000000</v>
      </c>
      <c r="D152" s="17" t="s">
        <v>19</v>
      </c>
      <c r="E152" s="31">
        <f>E$91*$C$152/20</f>
        <v>16666.666666666664</v>
      </c>
      <c r="F152" s="31">
        <f t="shared" ref="F152:N152" si="97">F$91*$C$152/20</f>
        <v>13888.888888888894</v>
      </c>
      <c r="G152" s="31">
        <f t="shared" si="97"/>
        <v>11574.074074074069</v>
      </c>
      <c r="H152" s="31">
        <f t="shared" si="97"/>
        <v>9645.0617283950669</v>
      </c>
      <c r="I152" s="31">
        <f t="shared" si="97"/>
        <v>8037.5514403292154</v>
      </c>
      <c r="J152" s="31">
        <f t="shared" si="97"/>
        <v>6697.9595336076891</v>
      </c>
      <c r="K152" s="31">
        <f t="shared" si="97"/>
        <v>5581.6329446730651</v>
      </c>
      <c r="L152" s="31">
        <f t="shared" si="97"/>
        <v>4651.3607872275543</v>
      </c>
      <c r="M152" s="31">
        <f t="shared" si="97"/>
        <v>3876.1339893562895</v>
      </c>
      <c r="N152" s="31">
        <f t="shared" si="97"/>
        <v>3230.1116577969192</v>
      </c>
      <c r="P152" s="2"/>
      <c r="Q152" s="2"/>
      <c r="R152" s="2"/>
    </row>
    <row r="153" spans="2:18" s="5" customFormat="1" ht="15" customHeight="1" x14ac:dyDescent="0.45">
      <c r="B153" s="115"/>
      <c r="C153" s="124"/>
      <c r="D153" s="17" t="s">
        <v>22</v>
      </c>
      <c r="E153" s="31"/>
      <c r="F153" s="31"/>
      <c r="G153" s="31"/>
      <c r="H153" s="31"/>
      <c r="I153" s="31">
        <f>SUM(E152:I152)/5</f>
        <v>11962.448559670782</v>
      </c>
      <c r="J153" s="31"/>
      <c r="K153" s="31"/>
      <c r="L153" s="31"/>
      <c r="M153" s="31"/>
      <c r="N153" s="31">
        <f>SUM(E152:N152)/10</f>
        <v>8384.9441711015425</v>
      </c>
      <c r="P153" s="2"/>
      <c r="Q153" s="2"/>
      <c r="R153" s="2"/>
    </row>
    <row r="154" spans="2:18" s="5" customFormat="1" ht="15" customHeight="1" x14ac:dyDescent="0.45">
      <c r="B154" s="115"/>
      <c r="C154" s="124"/>
      <c r="D154" s="17" t="s">
        <v>52</v>
      </c>
      <c r="E154" s="31">
        <f>E$92*$C152/20</f>
        <v>16666.666666666664</v>
      </c>
      <c r="F154" s="31">
        <f t="shared" ref="F154:N154" si="98">F$92*$C152/20</f>
        <v>30555.555555555555</v>
      </c>
      <c r="G154" s="31">
        <f t="shared" si="98"/>
        <v>42129.629629629628</v>
      </c>
      <c r="H154" s="31">
        <f t="shared" si="98"/>
        <v>51774.691358024691</v>
      </c>
      <c r="I154" s="31">
        <f t="shared" si="98"/>
        <v>59812.242798353909</v>
      </c>
      <c r="J154" s="31">
        <f t="shared" si="98"/>
        <v>66510.202331961598</v>
      </c>
      <c r="K154" s="31">
        <f t="shared" si="98"/>
        <v>72091.835276634665</v>
      </c>
      <c r="L154" s="31">
        <f t="shared" si="98"/>
        <v>76743.196063862211</v>
      </c>
      <c r="M154" s="31">
        <f t="shared" si="98"/>
        <v>80619.330053218524</v>
      </c>
      <c r="N154" s="31">
        <f t="shared" si="98"/>
        <v>83849.441711015446</v>
      </c>
      <c r="P154" s="2"/>
      <c r="Q154" s="2"/>
      <c r="R154" s="2"/>
    </row>
    <row r="155" spans="2:18" s="5" customFormat="1" ht="15" customHeight="1" x14ac:dyDescent="0.45">
      <c r="B155" s="115"/>
      <c r="C155" s="124">
        <v>2100000</v>
      </c>
      <c r="D155" s="17" t="s">
        <v>19</v>
      </c>
      <c r="E155" s="31">
        <f>E$91*$C155/20</f>
        <v>35000</v>
      </c>
      <c r="F155" s="31">
        <f t="shared" ref="F155:N155" si="99">F$91*$C155/20</f>
        <v>29166.666666666675</v>
      </c>
      <c r="G155" s="31">
        <f t="shared" si="99"/>
        <v>24305.555555555547</v>
      </c>
      <c r="H155" s="31">
        <f t="shared" si="99"/>
        <v>20254.629629629639</v>
      </c>
      <c r="I155" s="31">
        <f t="shared" si="99"/>
        <v>16878.858024691355</v>
      </c>
      <c r="J155" s="31">
        <f t="shared" si="99"/>
        <v>14065.715020576148</v>
      </c>
      <c r="K155" s="31">
        <f t="shared" si="99"/>
        <v>11721.429183813436</v>
      </c>
      <c r="L155" s="31">
        <f t="shared" si="99"/>
        <v>9767.8576531778635</v>
      </c>
      <c r="M155" s="31">
        <f t="shared" si="99"/>
        <v>8139.8813776482084</v>
      </c>
      <c r="N155" s="31">
        <f t="shared" si="99"/>
        <v>6783.2344813735299</v>
      </c>
      <c r="P155" s="2"/>
      <c r="Q155" s="2"/>
      <c r="R155" s="2"/>
    </row>
    <row r="156" spans="2:18" s="5" customFormat="1" ht="15" customHeight="1" x14ac:dyDescent="0.45">
      <c r="B156" s="115"/>
      <c r="C156" s="124"/>
      <c r="D156" s="17" t="s">
        <v>22</v>
      </c>
      <c r="E156" s="31"/>
      <c r="F156" s="31"/>
      <c r="G156" s="31"/>
      <c r="H156" s="31"/>
      <c r="I156" s="31">
        <f>SUM(E155:I155)/5</f>
        <v>25121.141975308641</v>
      </c>
      <c r="J156" s="31"/>
      <c r="K156" s="31"/>
      <c r="L156" s="31"/>
      <c r="M156" s="31"/>
      <c r="N156" s="31">
        <f>SUM(E155:N155)/10</f>
        <v>17608.382759313237</v>
      </c>
      <c r="P156" s="2"/>
      <c r="Q156" s="2"/>
      <c r="R156" s="2"/>
    </row>
    <row r="157" spans="2:18" s="5" customFormat="1" ht="15" customHeight="1" x14ac:dyDescent="0.45">
      <c r="B157" s="115"/>
      <c r="C157" s="124"/>
      <c r="D157" s="17" t="s">
        <v>52</v>
      </c>
      <c r="E157" s="31">
        <f>E$92*$C155/20</f>
        <v>35000</v>
      </c>
      <c r="F157" s="31">
        <f t="shared" ref="F157:N157" si="100">F$92*$C155/20</f>
        <v>64166.666666666672</v>
      </c>
      <c r="G157" s="31">
        <f t="shared" si="100"/>
        <v>88472.222222222219</v>
      </c>
      <c r="H157" s="31">
        <f t="shared" si="100"/>
        <v>108726.85185185187</v>
      </c>
      <c r="I157" s="31">
        <f t="shared" si="100"/>
        <v>125605.70987654322</v>
      </c>
      <c r="J157" s="31">
        <f t="shared" si="100"/>
        <v>139671.42489711934</v>
      </c>
      <c r="K157" s="31">
        <f t="shared" si="100"/>
        <v>151392.8540809328</v>
      </c>
      <c r="L157" s="31">
        <f t="shared" si="100"/>
        <v>161160.71173411066</v>
      </c>
      <c r="M157" s="31">
        <f t="shared" si="100"/>
        <v>169300.59311175888</v>
      </c>
      <c r="N157" s="31">
        <f t="shared" si="100"/>
        <v>176083.82759313242</v>
      </c>
      <c r="P157" s="2"/>
      <c r="Q157" s="2"/>
      <c r="R157" s="2"/>
    </row>
    <row r="158" spans="2:18" s="5" customFormat="1" ht="15" customHeight="1" x14ac:dyDescent="0.45">
      <c r="B158" s="116" t="s">
        <v>17</v>
      </c>
      <c r="C158" s="123">
        <v>20000</v>
      </c>
      <c r="D158" s="59" t="s">
        <v>19</v>
      </c>
      <c r="E158" s="29">
        <f>E$101*$C158/20</f>
        <v>4</v>
      </c>
      <c r="F158" s="29">
        <f t="shared" ref="F158:N158" si="101">F$101*$C158/20</f>
        <v>4</v>
      </c>
      <c r="G158" s="29">
        <f t="shared" si="101"/>
        <v>4</v>
      </c>
      <c r="H158" s="29">
        <f t="shared" si="101"/>
        <v>4</v>
      </c>
      <c r="I158" s="29">
        <f t="shared" si="101"/>
        <v>4</v>
      </c>
      <c r="J158" s="29">
        <f t="shared" si="101"/>
        <v>4</v>
      </c>
      <c r="K158" s="29">
        <f t="shared" si="101"/>
        <v>4</v>
      </c>
      <c r="L158" s="29">
        <f t="shared" si="101"/>
        <v>4</v>
      </c>
      <c r="M158" s="29">
        <f t="shared" si="101"/>
        <v>4</v>
      </c>
      <c r="N158" s="29">
        <f t="shared" si="101"/>
        <v>4</v>
      </c>
      <c r="P158" s="2"/>
      <c r="Q158" s="2"/>
      <c r="R158" s="2"/>
    </row>
    <row r="159" spans="2:18" s="5" customFormat="1" ht="15" customHeight="1" x14ac:dyDescent="0.45">
      <c r="B159" s="116"/>
      <c r="C159" s="123"/>
      <c r="D159" s="21" t="s">
        <v>22</v>
      </c>
      <c r="E159" s="29"/>
      <c r="F159" s="29"/>
      <c r="G159" s="29"/>
      <c r="H159" s="29"/>
      <c r="I159" s="29">
        <f>SUM(E158:I158)/5</f>
        <v>4</v>
      </c>
      <c r="J159" s="29"/>
      <c r="K159" s="29"/>
      <c r="L159" s="29"/>
      <c r="M159" s="29"/>
      <c r="N159" s="29">
        <f>SUM(E158:N158)/10</f>
        <v>4</v>
      </c>
      <c r="P159" s="2"/>
      <c r="Q159" s="2"/>
      <c r="R159" s="2"/>
    </row>
    <row r="160" spans="2:18" s="5" customFormat="1" ht="15" customHeight="1" x14ac:dyDescent="0.45">
      <c r="B160" s="116"/>
      <c r="C160" s="123"/>
      <c r="D160" s="21" t="s">
        <v>52</v>
      </c>
      <c r="E160" s="29">
        <f>E$102*$C158/20</f>
        <v>4</v>
      </c>
      <c r="F160" s="29">
        <f t="shared" ref="F160:N160" si="102">F$102*$C158/20</f>
        <v>8</v>
      </c>
      <c r="G160" s="29">
        <f t="shared" si="102"/>
        <v>12</v>
      </c>
      <c r="H160" s="29">
        <f t="shared" si="102"/>
        <v>16</v>
      </c>
      <c r="I160" s="29">
        <f t="shared" si="102"/>
        <v>20.000000000000004</v>
      </c>
      <c r="J160" s="29">
        <f t="shared" si="102"/>
        <v>24.000000000000004</v>
      </c>
      <c r="K160" s="29">
        <f t="shared" si="102"/>
        <v>28.000000000000007</v>
      </c>
      <c r="L160" s="29">
        <f t="shared" si="102"/>
        <v>32</v>
      </c>
      <c r="M160" s="29">
        <f t="shared" si="102"/>
        <v>36</v>
      </c>
      <c r="N160" s="29">
        <f t="shared" si="102"/>
        <v>40</v>
      </c>
      <c r="P160" s="2"/>
      <c r="Q160" s="2"/>
      <c r="R160" s="2"/>
    </row>
    <row r="161" spans="2:18" s="5" customFormat="1" ht="15" customHeight="1" x14ac:dyDescent="0.45">
      <c r="B161" s="116"/>
      <c r="C161" s="123">
        <v>400000</v>
      </c>
      <c r="D161" s="59" t="s">
        <v>19</v>
      </c>
      <c r="E161" s="29">
        <f>E$101*$C161/20</f>
        <v>80</v>
      </c>
      <c r="F161" s="29">
        <f t="shared" ref="F161:N161" si="103">F$101*$C161/20</f>
        <v>80</v>
      </c>
      <c r="G161" s="29">
        <f t="shared" si="103"/>
        <v>80</v>
      </c>
      <c r="H161" s="29">
        <f t="shared" si="103"/>
        <v>80</v>
      </c>
      <c r="I161" s="29">
        <f t="shared" si="103"/>
        <v>80</v>
      </c>
      <c r="J161" s="29">
        <f t="shared" si="103"/>
        <v>80</v>
      </c>
      <c r="K161" s="29">
        <f t="shared" si="103"/>
        <v>80</v>
      </c>
      <c r="L161" s="29">
        <f t="shared" si="103"/>
        <v>80</v>
      </c>
      <c r="M161" s="29">
        <f t="shared" si="103"/>
        <v>80</v>
      </c>
      <c r="N161" s="29">
        <f t="shared" si="103"/>
        <v>80</v>
      </c>
      <c r="P161" s="2"/>
      <c r="Q161" s="2"/>
      <c r="R161" s="2"/>
    </row>
    <row r="162" spans="2:18" s="5" customFormat="1" ht="15" customHeight="1" x14ac:dyDescent="0.45">
      <c r="B162" s="116"/>
      <c r="C162" s="123"/>
      <c r="D162" s="21" t="s">
        <v>22</v>
      </c>
      <c r="E162" s="29"/>
      <c r="F162" s="29"/>
      <c r="G162" s="29"/>
      <c r="H162" s="29"/>
      <c r="I162" s="29">
        <f>SUM(E161:I161)/5</f>
        <v>80</v>
      </c>
      <c r="J162" s="29"/>
      <c r="K162" s="29"/>
      <c r="L162" s="29"/>
      <c r="M162" s="29"/>
      <c r="N162" s="29">
        <f>SUM(E161:N161)/10</f>
        <v>80</v>
      </c>
      <c r="P162" s="2"/>
      <c r="Q162" s="2"/>
      <c r="R162" s="2"/>
    </row>
    <row r="163" spans="2:18" s="5" customFormat="1" ht="15" customHeight="1" x14ac:dyDescent="0.45">
      <c r="B163" s="116"/>
      <c r="C163" s="123"/>
      <c r="D163" s="21" t="s">
        <v>52</v>
      </c>
      <c r="E163" s="29">
        <f>E$102*$C161/20</f>
        <v>80</v>
      </c>
      <c r="F163" s="29">
        <f t="shared" ref="F163:N163" si="104">F$102*$C161/20</f>
        <v>160</v>
      </c>
      <c r="G163" s="29">
        <f t="shared" si="104"/>
        <v>240</v>
      </c>
      <c r="H163" s="29">
        <f t="shared" si="104"/>
        <v>320</v>
      </c>
      <c r="I163" s="29">
        <f t="shared" si="104"/>
        <v>400.00000000000011</v>
      </c>
      <c r="J163" s="29">
        <f t="shared" si="104"/>
        <v>480.00000000000011</v>
      </c>
      <c r="K163" s="29">
        <f t="shared" si="104"/>
        <v>560.00000000000011</v>
      </c>
      <c r="L163" s="29">
        <f t="shared" si="104"/>
        <v>640</v>
      </c>
      <c r="M163" s="29">
        <f t="shared" si="104"/>
        <v>719.99999999999989</v>
      </c>
      <c r="N163" s="29">
        <f t="shared" si="104"/>
        <v>800</v>
      </c>
      <c r="P163" s="2"/>
      <c r="Q163" s="2"/>
      <c r="R163" s="2"/>
    </row>
    <row r="164" spans="2:18" s="5" customFormat="1" ht="15" customHeight="1" x14ac:dyDescent="0.45">
      <c r="B164" s="116"/>
      <c r="C164" s="124">
        <v>1000000</v>
      </c>
      <c r="D164" s="17" t="s">
        <v>19</v>
      </c>
      <c r="E164" s="31">
        <f>E$101*$C$164/20</f>
        <v>200</v>
      </c>
      <c r="F164" s="31">
        <f t="shared" ref="F164:N164" si="105">F$101*$C$164/20</f>
        <v>200</v>
      </c>
      <c r="G164" s="31">
        <f t="shared" si="105"/>
        <v>200</v>
      </c>
      <c r="H164" s="31">
        <f t="shared" si="105"/>
        <v>200</v>
      </c>
      <c r="I164" s="31">
        <f t="shared" si="105"/>
        <v>200</v>
      </c>
      <c r="J164" s="31">
        <f t="shared" si="105"/>
        <v>200</v>
      </c>
      <c r="K164" s="31">
        <f t="shared" si="105"/>
        <v>200</v>
      </c>
      <c r="L164" s="31">
        <f t="shared" si="105"/>
        <v>200</v>
      </c>
      <c r="M164" s="31">
        <f t="shared" si="105"/>
        <v>200</v>
      </c>
      <c r="N164" s="31">
        <f t="shared" si="105"/>
        <v>200</v>
      </c>
      <c r="P164" s="2"/>
      <c r="Q164" s="2"/>
      <c r="R164" s="2"/>
    </row>
    <row r="165" spans="2:18" s="5" customFormat="1" ht="15" customHeight="1" x14ac:dyDescent="0.45">
      <c r="B165" s="116"/>
      <c r="C165" s="124"/>
      <c r="D165" s="17" t="s">
        <v>22</v>
      </c>
      <c r="E165" s="31"/>
      <c r="F165" s="31"/>
      <c r="G165" s="31"/>
      <c r="H165" s="31"/>
      <c r="I165" s="31">
        <f>SUM(E164:I164)/5</f>
        <v>200</v>
      </c>
      <c r="J165" s="31"/>
      <c r="K165" s="31"/>
      <c r="L165" s="31"/>
      <c r="M165" s="31"/>
      <c r="N165" s="31">
        <f>SUM(E164:N164)/10</f>
        <v>200</v>
      </c>
      <c r="P165" s="2"/>
      <c r="Q165" s="2"/>
      <c r="R165" s="2"/>
    </row>
    <row r="166" spans="2:18" s="5" customFormat="1" ht="15" customHeight="1" x14ac:dyDescent="0.45">
      <c r="B166" s="116"/>
      <c r="C166" s="124"/>
      <c r="D166" s="17" t="s">
        <v>52</v>
      </c>
      <c r="E166" s="31">
        <f>E$102*$C164/20</f>
        <v>200</v>
      </c>
      <c r="F166" s="31">
        <f t="shared" ref="F166:N166" si="106">F$102*$C164/20</f>
        <v>400</v>
      </c>
      <c r="G166" s="31">
        <f t="shared" si="106"/>
        <v>600</v>
      </c>
      <c r="H166" s="31">
        <f t="shared" si="106"/>
        <v>800</v>
      </c>
      <c r="I166" s="31">
        <f t="shared" si="106"/>
        <v>1000.0000000000002</v>
      </c>
      <c r="J166" s="31">
        <f t="shared" si="106"/>
        <v>1200.0000000000002</v>
      </c>
      <c r="K166" s="31">
        <f t="shared" si="106"/>
        <v>1400.0000000000002</v>
      </c>
      <c r="L166" s="31">
        <f t="shared" si="106"/>
        <v>1600</v>
      </c>
      <c r="M166" s="31">
        <f t="shared" si="106"/>
        <v>1800</v>
      </c>
      <c r="N166" s="31">
        <f t="shared" si="106"/>
        <v>2000</v>
      </c>
      <c r="P166" s="2"/>
      <c r="Q166" s="2"/>
      <c r="R166" s="2"/>
    </row>
    <row r="167" spans="2:18" s="5" customFormat="1" ht="15" customHeight="1" x14ac:dyDescent="0.45">
      <c r="B167" s="116"/>
      <c r="C167" s="124">
        <v>2100000</v>
      </c>
      <c r="D167" s="17" t="s">
        <v>19</v>
      </c>
      <c r="E167" s="31">
        <f>E$101*$C167/20</f>
        <v>420</v>
      </c>
      <c r="F167" s="31">
        <f t="shared" ref="F167:N167" si="107">F$101*$C167/20</f>
        <v>420</v>
      </c>
      <c r="G167" s="31">
        <f t="shared" si="107"/>
        <v>420</v>
      </c>
      <c r="H167" s="31">
        <f t="shared" si="107"/>
        <v>420</v>
      </c>
      <c r="I167" s="31">
        <f t="shared" si="107"/>
        <v>420</v>
      </c>
      <c r="J167" s="31">
        <f t="shared" si="107"/>
        <v>420</v>
      </c>
      <c r="K167" s="31">
        <f t="shared" si="107"/>
        <v>420</v>
      </c>
      <c r="L167" s="31">
        <f t="shared" si="107"/>
        <v>420</v>
      </c>
      <c r="M167" s="31">
        <f t="shared" si="107"/>
        <v>420</v>
      </c>
      <c r="N167" s="31">
        <f t="shared" si="107"/>
        <v>420</v>
      </c>
      <c r="P167" s="2"/>
      <c r="Q167" s="2"/>
      <c r="R167" s="2"/>
    </row>
    <row r="168" spans="2:18" s="5" customFormat="1" ht="15" customHeight="1" x14ac:dyDescent="0.45">
      <c r="B168" s="116"/>
      <c r="C168" s="124"/>
      <c r="D168" s="17" t="s">
        <v>22</v>
      </c>
      <c r="E168" s="31"/>
      <c r="F168" s="31"/>
      <c r="G168" s="31"/>
      <c r="H168" s="31"/>
      <c r="I168" s="31">
        <f>SUM(E167:I167)/5</f>
        <v>420</v>
      </c>
      <c r="J168" s="31"/>
      <c r="K168" s="31"/>
      <c r="L168" s="31"/>
      <c r="M168" s="31"/>
      <c r="N168" s="31">
        <f>SUM(E167:N167)/10</f>
        <v>420</v>
      </c>
      <c r="P168" s="2"/>
      <c r="Q168" s="2"/>
      <c r="R168" s="2"/>
    </row>
    <row r="169" spans="2:18" s="5" customFormat="1" ht="15" customHeight="1" x14ac:dyDescent="0.45">
      <c r="B169" s="116"/>
      <c r="C169" s="124"/>
      <c r="D169" s="17" t="s">
        <v>52</v>
      </c>
      <c r="E169" s="31">
        <f>E$102*$C167/20</f>
        <v>420</v>
      </c>
      <c r="F169" s="31">
        <f t="shared" ref="F169:N169" si="108">F$102*$C167/20</f>
        <v>840</v>
      </c>
      <c r="G169" s="31">
        <f t="shared" si="108"/>
        <v>1260</v>
      </c>
      <c r="H169" s="31">
        <f t="shared" si="108"/>
        <v>1680</v>
      </c>
      <c r="I169" s="31">
        <f t="shared" si="108"/>
        <v>2100.0000000000005</v>
      </c>
      <c r="J169" s="31">
        <f t="shared" si="108"/>
        <v>2520.0000000000005</v>
      </c>
      <c r="K169" s="31">
        <f t="shared" si="108"/>
        <v>2940.0000000000005</v>
      </c>
      <c r="L169" s="31">
        <f t="shared" si="108"/>
        <v>3360</v>
      </c>
      <c r="M169" s="31">
        <f t="shared" si="108"/>
        <v>3780</v>
      </c>
      <c r="N169" s="31">
        <f t="shared" si="108"/>
        <v>4200</v>
      </c>
      <c r="P169" s="2"/>
      <c r="Q169" s="2"/>
      <c r="R169" s="2"/>
    </row>
    <row r="170" spans="2:18" s="5" customFormat="1" ht="15" customHeight="1" x14ac:dyDescent="0.45">
      <c r="B170" s="116" t="s">
        <v>73</v>
      </c>
      <c r="C170" s="123">
        <v>20000</v>
      </c>
      <c r="D170" s="59" t="s">
        <v>19</v>
      </c>
      <c r="E170" s="29">
        <f>E$115*$C170/20</f>
        <v>25</v>
      </c>
      <c r="F170" s="29">
        <f t="shared" ref="F170:N170" si="109">F$115*$C170/20</f>
        <v>20.833333333333332</v>
      </c>
      <c r="G170" s="29">
        <f t="shared" si="109"/>
        <v>17.361111111111111</v>
      </c>
      <c r="H170" s="29">
        <f t="shared" si="109"/>
        <v>14.467592592592592</v>
      </c>
      <c r="I170" s="29">
        <f t="shared" si="109"/>
        <v>12.056327160493826</v>
      </c>
      <c r="J170" s="29">
        <f t="shared" si="109"/>
        <v>10.046939300411522</v>
      </c>
      <c r="K170" s="29">
        <f t="shared" si="109"/>
        <v>8.3724494170096015</v>
      </c>
      <c r="L170" s="29">
        <f t="shared" si="109"/>
        <v>6.9770411808413355</v>
      </c>
      <c r="M170" s="29">
        <f t="shared" si="109"/>
        <v>5.8142009840344464</v>
      </c>
      <c r="N170" s="29">
        <f t="shared" si="109"/>
        <v>4.845167486695372</v>
      </c>
      <c r="P170" s="2"/>
      <c r="Q170" s="2"/>
      <c r="R170" s="2"/>
    </row>
    <row r="171" spans="2:18" s="5" customFormat="1" ht="15" customHeight="1" x14ac:dyDescent="0.45">
      <c r="B171" s="116"/>
      <c r="C171" s="123"/>
      <c r="D171" s="21" t="s">
        <v>22</v>
      </c>
      <c r="E171" s="29"/>
      <c r="F171" s="29"/>
      <c r="G171" s="29"/>
      <c r="H171" s="29"/>
      <c r="I171" s="29">
        <f>SUM(E170:I170)/5</f>
        <v>17.943672839506171</v>
      </c>
      <c r="J171" s="29"/>
      <c r="K171" s="29"/>
      <c r="L171" s="29"/>
      <c r="M171" s="29"/>
      <c r="N171" s="29">
        <f>SUM(E170:N170)/10</f>
        <v>12.577416256652315</v>
      </c>
      <c r="P171" s="2"/>
      <c r="Q171" s="2"/>
      <c r="R171" s="2"/>
    </row>
    <row r="172" spans="2:18" s="5" customFormat="1" ht="15" customHeight="1" x14ac:dyDescent="0.45">
      <c r="B172" s="116"/>
      <c r="C172" s="123"/>
      <c r="D172" s="21" t="s">
        <v>52</v>
      </c>
      <c r="E172" s="29">
        <f>E$117*$C170/20</f>
        <v>25</v>
      </c>
      <c r="F172" s="29">
        <f t="shared" ref="F172:N172" si="110">F$117*$C170/20</f>
        <v>45.833333333333329</v>
      </c>
      <c r="G172" s="29">
        <f t="shared" si="110"/>
        <v>63.194444444444471</v>
      </c>
      <c r="H172" s="29">
        <f t="shared" si="110"/>
        <v>77.662037037037024</v>
      </c>
      <c r="I172" s="29">
        <f t="shared" si="110"/>
        <v>89.718364197530889</v>
      </c>
      <c r="J172" s="29">
        <f t="shared" si="110"/>
        <v>99.765303497942284</v>
      </c>
      <c r="K172" s="29">
        <f t="shared" si="110"/>
        <v>108.13775291495203</v>
      </c>
      <c r="L172" s="29">
        <f t="shared" si="110"/>
        <v>115.1147940957934</v>
      </c>
      <c r="M172" s="29">
        <f t="shared" si="110"/>
        <v>120.928995079828</v>
      </c>
      <c r="N172" s="29">
        <f t="shared" si="110"/>
        <v>125.77416256652296</v>
      </c>
      <c r="P172" s="2"/>
      <c r="Q172" s="2"/>
      <c r="R172" s="2"/>
    </row>
    <row r="173" spans="2:18" s="5" customFormat="1" ht="15" customHeight="1" x14ac:dyDescent="0.45">
      <c r="B173" s="116"/>
      <c r="C173" s="123">
        <v>400000</v>
      </c>
      <c r="D173" s="59" t="s">
        <v>19</v>
      </c>
      <c r="E173" s="29">
        <f>E$115*$C173/20</f>
        <v>500</v>
      </c>
      <c r="F173" s="29">
        <f t="shared" ref="F173:N173" si="111">F$115*$C173/20</f>
        <v>416.66666666666663</v>
      </c>
      <c r="G173" s="29">
        <f t="shared" si="111"/>
        <v>347.22222222222223</v>
      </c>
      <c r="H173" s="29">
        <f t="shared" si="111"/>
        <v>289.35185185185185</v>
      </c>
      <c r="I173" s="29">
        <f t="shared" si="111"/>
        <v>241.12654320987653</v>
      </c>
      <c r="J173" s="29">
        <f t="shared" si="111"/>
        <v>200.93878600823044</v>
      </c>
      <c r="K173" s="29">
        <f t="shared" si="111"/>
        <v>167.44898834019202</v>
      </c>
      <c r="L173" s="29">
        <f t="shared" si="111"/>
        <v>139.54082361682671</v>
      </c>
      <c r="M173" s="29">
        <f t="shared" si="111"/>
        <v>116.28401968068893</v>
      </c>
      <c r="N173" s="29">
        <f t="shared" si="111"/>
        <v>96.903349733907433</v>
      </c>
      <c r="P173" s="2"/>
      <c r="Q173" s="2"/>
      <c r="R173" s="2"/>
    </row>
    <row r="174" spans="2:18" s="5" customFormat="1" ht="15" customHeight="1" x14ac:dyDescent="0.45">
      <c r="B174" s="116"/>
      <c r="C174" s="123"/>
      <c r="D174" s="21" t="s">
        <v>22</v>
      </c>
      <c r="E174" s="29"/>
      <c r="F174" s="29"/>
      <c r="G174" s="29"/>
      <c r="H174" s="29"/>
      <c r="I174" s="29">
        <f>SUM(E173:I173)/5</f>
        <v>358.87345679012344</v>
      </c>
      <c r="J174" s="29"/>
      <c r="K174" s="29"/>
      <c r="L174" s="29"/>
      <c r="M174" s="29"/>
      <c r="N174" s="29">
        <f>SUM(E173:N173)/10</f>
        <v>251.54832513304626</v>
      </c>
      <c r="P174" s="2"/>
      <c r="Q174" s="2"/>
      <c r="R174" s="2"/>
    </row>
    <row r="175" spans="2:18" s="5" customFormat="1" ht="15" customHeight="1" x14ac:dyDescent="0.45">
      <c r="B175" s="116"/>
      <c r="C175" s="123"/>
      <c r="D175" s="21" t="s">
        <v>52</v>
      </c>
      <c r="E175" s="29">
        <f>E$117*$C173/20</f>
        <v>500</v>
      </c>
      <c r="F175" s="29">
        <f t="shared" ref="F175:N175" si="112">F$117*$C173/20</f>
        <v>916.66666666666663</v>
      </c>
      <c r="G175" s="29">
        <f t="shared" si="112"/>
        <v>1263.8888888888894</v>
      </c>
      <c r="H175" s="29">
        <f t="shared" si="112"/>
        <v>1553.2407407407404</v>
      </c>
      <c r="I175" s="29">
        <f t="shared" si="112"/>
        <v>1794.3672839506175</v>
      </c>
      <c r="J175" s="29">
        <f t="shared" si="112"/>
        <v>1995.3060699588455</v>
      </c>
      <c r="K175" s="29">
        <f t="shared" si="112"/>
        <v>2162.7550582990407</v>
      </c>
      <c r="L175" s="29">
        <f t="shared" si="112"/>
        <v>2302.295881915868</v>
      </c>
      <c r="M175" s="29">
        <f t="shared" si="112"/>
        <v>2418.5799015965599</v>
      </c>
      <c r="N175" s="29">
        <f t="shared" si="112"/>
        <v>2515.4832513304591</v>
      </c>
      <c r="P175" s="2"/>
      <c r="Q175" s="2"/>
      <c r="R175" s="2"/>
    </row>
    <row r="176" spans="2:18" s="5" customFormat="1" ht="15" customHeight="1" x14ac:dyDescent="0.45">
      <c r="B176" s="116"/>
      <c r="C176" s="124">
        <v>1000000</v>
      </c>
      <c r="D176" s="17" t="s">
        <v>19</v>
      </c>
      <c r="E176" s="31">
        <f>E$115*$C$176/20</f>
        <v>1250</v>
      </c>
      <c r="F176" s="31">
        <f t="shared" ref="F176:N176" si="113">F$115*$C$176/20</f>
        <v>1041.6666666666665</v>
      </c>
      <c r="G176" s="31">
        <f t="shared" si="113"/>
        <v>868.05555555555566</v>
      </c>
      <c r="H176" s="31">
        <f t="shared" si="113"/>
        <v>723.37962962962968</v>
      </c>
      <c r="I176" s="31">
        <f t="shared" si="113"/>
        <v>602.81635802469134</v>
      </c>
      <c r="J176" s="31">
        <f t="shared" si="113"/>
        <v>502.34696502057602</v>
      </c>
      <c r="K176" s="31">
        <f t="shared" si="113"/>
        <v>418.62247085048</v>
      </c>
      <c r="L176" s="31">
        <f t="shared" si="113"/>
        <v>348.8520590420668</v>
      </c>
      <c r="M176" s="31">
        <f t="shared" si="113"/>
        <v>290.71004920172231</v>
      </c>
      <c r="N176" s="31">
        <f t="shared" si="113"/>
        <v>242.25837433476858</v>
      </c>
      <c r="P176" s="2"/>
      <c r="Q176" s="2"/>
      <c r="R176" s="2"/>
    </row>
    <row r="177" spans="2:18" s="5" customFormat="1" ht="15" customHeight="1" x14ac:dyDescent="0.45">
      <c r="B177" s="116"/>
      <c r="C177" s="124"/>
      <c r="D177" s="17" t="s">
        <v>22</v>
      </c>
      <c r="E177" s="31"/>
      <c r="F177" s="31"/>
      <c r="G177" s="31"/>
      <c r="H177" s="31"/>
      <c r="I177" s="31">
        <f>SUM(E176:I176)/5</f>
        <v>897.18364197530866</v>
      </c>
      <c r="J177" s="31"/>
      <c r="K177" s="31"/>
      <c r="L177" s="31"/>
      <c r="M177" s="31"/>
      <c r="N177" s="31">
        <f>SUM(E176:N176)/10</f>
        <v>628.87081283261568</v>
      </c>
      <c r="P177" s="2"/>
      <c r="Q177" s="2"/>
      <c r="R177" s="2"/>
    </row>
    <row r="178" spans="2:18" s="5" customFormat="1" ht="15" customHeight="1" x14ac:dyDescent="0.45">
      <c r="B178" s="116"/>
      <c r="C178" s="124"/>
      <c r="D178" s="17" t="s">
        <v>52</v>
      </c>
      <c r="E178" s="31">
        <f>E$117*$C176/20</f>
        <v>1250</v>
      </c>
      <c r="F178" s="31">
        <f t="shared" ref="F178:N178" si="114">F$117*$C176/20</f>
        <v>2291.6666666666665</v>
      </c>
      <c r="G178" s="31">
        <f t="shared" si="114"/>
        <v>3159.7222222222235</v>
      </c>
      <c r="H178" s="31">
        <f t="shared" si="114"/>
        <v>3883.1018518518513</v>
      </c>
      <c r="I178" s="31">
        <f t="shared" si="114"/>
        <v>4485.9182098765441</v>
      </c>
      <c r="J178" s="31">
        <f t="shared" si="114"/>
        <v>4988.2651748971139</v>
      </c>
      <c r="K178" s="31">
        <f t="shared" si="114"/>
        <v>5406.8876457476017</v>
      </c>
      <c r="L178" s="31">
        <f t="shared" si="114"/>
        <v>5755.7397047896702</v>
      </c>
      <c r="M178" s="31">
        <f t="shared" si="114"/>
        <v>6046.4497539914</v>
      </c>
      <c r="N178" s="31">
        <f t="shared" si="114"/>
        <v>6288.7081283261487</v>
      </c>
      <c r="P178" s="2"/>
      <c r="Q178" s="2"/>
      <c r="R178" s="2"/>
    </row>
    <row r="179" spans="2:18" s="5" customFormat="1" ht="15" customHeight="1" x14ac:dyDescent="0.45">
      <c r="B179" s="116"/>
      <c r="C179" s="124">
        <v>2100000</v>
      </c>
      <c r="D179" s="17" t="s">
        <v>19</v>
      </c>
      <c r="E179" s="31">
        <f>E$115*$C$179/20</f>
        <v>2625</v>
      </c>
      <c r="F179" s="31">
        <f t="shared" ref="F179:N179" si="115">F$115*$C$179/20</f>
        <v>2187.5</v>
      </c>
      <c r="G179" s="31">
        <f t="shared" si="115"/>
        <v>1822.9166666666667</v>
      </c>
      <c r="H179" s="31">
        <f t="shared" si="115"/>
        <v>1519.0972222222222</v>
      </c>
      <c r="I179" s="31">
        <f t="shared" si="115"/>
        <v>1265.9143518518517</v>
      </c>
      <c r="J179" s="31">
        <f t="shared" si="115"/>
        <v>1054.9286265432097</v>
      </c>
      <c r="K179" s="31">
        <f t="shared" si="115"/>
        <v>879.10718878600824</v>
      </c>
      <c r="L179" s="31">
        <f t="shared" si="115"/>
        <v>732.5893239883402</v>
      </c>
      <c r="M179" s="31">
        <f t="shared" si="115"/>
        <v>610.49110332361693</v>
      </c>
      <c r="N179" s="31">
        <f t="shared" si="115"/>
        <v>508.74258610301405</v>
      </c>
      <c r="P179" s="2"/>
      <c r="Q179" s="2"/>
      <c r="R179" s="2"/>
    </row>
    <row r="180" spans="2:18" s="5" customFormat="1" ht="15" customHeight="1" x14ac:dyDescent="0.45">
      <c r="B180" s="116"/>
      <c r="C180" s="124"/>
      <c r="D180" s="17" t="s">
        <v>22</v>
      </c>
      <c r="E180" s="31"/>
      <c r="F180" s="31"/>
      <c r="G180" s="31"/>
      <c r="H180" s="31"/>
      <c r="I180" s="31">
        <f>SUM(E179:I179)/5</f>
        <v>1884.0856481481483</v>
      </c>
      <c r="J180" s="31"/>
      <c r="K180" s="31"/>
      <c r="L180" s="31"/>
      <c r="M180" s="31"/>
      <c r="N180" s="31">
        <f>SUM(E179:N179)/10</f>
        <v>1320.6287069484929</v>
      </c>
      <c r="P180" s="2"/>
      <c r="Q180" s="2"/>
      <c r="R180" s="2"/>
    </row>
    <row r="181" spans="2:18" s="5" customFormat="1" ht="15" customHeight="1" x14ac:dyDescent="0.45">
      <c r="B181" s="116"/>
      <c r="C181" s="124"/>
      <c r="D181" s="17" t="s">
        <v>52</v>
      </c>
      <c r="E181" s="31">
        <f>E$117*$C179/20</f>
        <v>2625</v>
      </c>
      <c r="F181" s="31">
        <f t="shared" ref="F181:N181" si="116">F$117*$C179/20</f>
        <v>4812.5</v>
      </c>
      <c r="G181" s="31">
        <f t="shared" si="116"/>
        <v>6635.4166666666688</v>
      </c>
      <c r="H181" s="31">
        <f t="shared" si="116"/>
        <v>8154.513888888886</v>
      </c>
      <c r="I181" s="31">
        <f t="shared" si="116"/>
        <v>9420.4282407407427</v>
      </c>
      <c r="J181" s="31">
        <f t="shared" si="116"/>
        <v>10475.356867283939</v>
      </c>
      <c r="K181" s="31">
        <f t="shared" si="116"/>
        <v>11354.464056069964</v>
      </c>
      <c r="L181" s="31">
        <f t="shared" si="116"/>
        <v>12087.053380058307</v>
      </c>
      <c r="M181" s="31">
        <f t="shared" si="116"/>
        <v>12697.54448338194</v>
      </c>
      <c r="N181" s="31">
        <f t="shared" si="116"/>
        <v>13206.287069484912</v>
      </c>
      <c r="P181" s="2"/>
      <c r="Q181" s="2"/>
      <c r="R181" s="2"/>
    </row>
    <row r="182" spans="2:18" s="5" customFormat="1" ht="15" customHeight="1" x14ac:dyDescent="0.45">
      <c r="B182" s="116" t="s">
        <v>18</v>
      </c>
      <c r="C182" s="123">
        <v>20000</v>
      </c>
      <c r="D182" s="59" t="s">
        <v>19</v>
      </c>
      <c r="E182" s="29">
        <f>E146+E158+E170</f>
        <v>362.33333333333331</v>
      </c>
      <c r="F182" s="29">
        <f t="shared" ref="F182:N182" si="117">F146+F158+F170</f>
        <v>302.61111111111114</v>
      </c>
      <c r="G182" s="29">
        <f t="shared" si="117"/>
        <v>252.8425925925925</v>
      </c>
      <c r="H182" s="29">
        <f t="shared" si="117"/>
        <v>211.36882716049391</v>
      </c>
      <c r="I182" s="29">
        <f t="shared" si="117"/>
        <v>176.80735596707814</v>
      </c>
      <c r="J182" s="29">
        <f t="shared" si="117"/>
        <v>148.00612997256528</v>
      </c>
      <c r="K182" s="29">
        <f t="shared" si="117"/>
        <v>124.0051083104709</v>
      </c>
      <c r="L182" s="29">
        <f t="shared" si="117"/>
        <v>104.00425692539243</v>
      </c>
      <c r="M182" s="29">
        <f t="shared" si="117"/>
        <v>87.336880771160224</v>
      </c>
      <c r="N182" s="29">
        <f t="shared" si="117"/>
        <v>73.447400642633752</v>
      </c>
      <c r="P182" s="2"/>
      <c r="Q182" s="2"/>
      <c r="R182" s="2"/>
    </row>
    <row r="183" spans="2:18" s="5" customFormat="1" ht="15" customHeight="1" x14ac:dyDescent="0.45">
      <c r="B183" s="116"/>
      <c r="C183" s="123"/>
      <c r="D183" s="21" t="s">
        <v>22</v>
      </c>
      <c r="E183" s="29"/>
      <c r="F183" s="29"/>
      <c r="G183" s="29"/>
      <c r="H183" s="29"/>
      <c r="I183" s="30">
        <f>SUM(E182:I182)/5</f>
        <v>261.19264403292181</v>
      </c>
      <c r="J183" s="29"/>
      <c r="K183" s="29"/>
      <c r="L183" s="29"/>
      <c r="M183" s="29"/>
      <c r="N183" s="29">
        <f>SUM(E182:N182)/10</f>
        <v>184.27629967868316</v>
      </c>
      <c r="P183" s="2"/>
      <c r="Q183" s="2"/>
      <c r="R183" s="2"/>
    </row>
    <row r="184" spans="2:18" s="5" customFormat="1" ht="15" customHeight="1" x14ac:dyDescent="0.45">
      <c r="B184" s="116"/>
      <c r="C184" s="123"/>
      <c r="D184" s="21" t="s">
        <v>52</v>
      </c>
      <c r="E184" s="29">
        <f>E148+E160+E172</f>
        <v>362.33333333333331</v>
      </c>
      <c r="F184" s="29">
        <f t="shared" ref="F184:N184" si="118">F148+F160+F172</f>
        <v>664.94444444444446</v>
      </c>
      <c r="G184" s="29">
        <f t="shared" si="118"/>
        <v>917.78703703703695</v>
      </c>
      <c r="H184" s="29">
        <f t="shared" si="118"/>
        <v>1129.1558641975307</v>
      </c>
      <c r="I184" s="30">
        <f t="shared" si="118"/>
        <v>1305.9632201646091</v>
      </c>
      <c r="J184" s="29">
        <f t="shared" si="118"/>
        <v>1453.9693501371744</v>
      </c>
      <c r="K184" s="29">
        <f t="shared" si="118"/>
        <v>1577.9744584476452</v>
      </c>
      <c r="L184" s="29">
        <f t="shared" si="118"/>
        <v>1681.9787153730376</v>
      </c>
      <c r="M184" s="29">
        <f t="shared" si="118"/>
        <v>1769.3155961441983</v>
      </c>
      <c r="N184" s="29">
        <f t="shared" si="118"/>
        <v>1842.762996786832</v>
      </c>
      <c r="P184" s="2"/>
      <c r="Q184" s="2"/>
      <c r="R184" s="2"/>
    </row>
    <row r="185" spans="2:18" s="5" customFormat="1" ht="15" customHeight="1" x14ac:dyDescent="0.45">
      <c r="B185" s="116"/>
      <c r="C185" s="123">
        <v>400000</v>
      </c>
      <c r="D185" s="59" t="s">
        <v>19</v>
      </c>
      <c r="E185" s="29">
        <f>E149+E161+E173</f>
        <v>7246.6666666666661</v>
      </c>
      <c r="F185" s="29">
        <f t="shared" ref="F185:N185" si="119">F149+F161+F173</f>
        <v>6052.2222222222235</v>
      </c>
      <c r="G185" s="29">
        <f t="shared" si="119"/>
        <v>5056.8518518518504</v>
      </c>
      <c r="H185" s="29">
        <f t="shared" si="119"/>
        <v>4227.376543209878</v>
      </c>
      <c r="I185" s="29">
        <f t="shared" si="119"/>
        <v>3536.1471193415628</v>
      </c>
      <c r="J185" s="29">
        <f t="shared" si="119"/>
        <v>2960.1225994513061</v>
      </c>
      <c r="K185" s="29">
        <f t="shared" si="119"/>
        <v>2480.1021662094181</v>
      </c>
      <c r="L185" s="29">
        <f t="shared" si="119"/>
        <v>2080.0851385078486</v>
      </c>
      <c r="M185" s="29">
        <f t="shared" si="119"/>
        <v>1746.7376154232047</v>
      </c>
      <c r="N185" s="29">
        <f t="shared" si="119"/>
        <v>1468.948012852675</v>
      </c>
      <c r="P185" s="2"/>
      <c r="Q185" s="2"/>
      <c r="R185" s="2"/>
    </row>
    <row r="186" spans="2:18" s="5" customFormat="1" ht="15" customHeight="1" x14ac:dyDescent="0.45">
      <c r="B186" s="116"/>
      <c r="C186" s="123"/>
      <c r="D186" s="21" t="s">
        <v>22</v>
      </c>
      <c r="E186" s="29"/>
      <c r="F186" s="29"/>
      <c r="G186" s="29"/>
      <c r="H186" s="29"/>
      <c r="I186" s="30">
        <f>SUM(E185:I185)/5</f>
        <v>5223.8528806584363</v>
      </c>
      <c r="J186" s="29"/>
      <c r="K186" s="29"/>
      <c r="L186" s="29"/>
      <c r="M186" s="29"/>
      <c r="N186" s="29">
        <f>SUM(E185:N185)/10</f>
        <v>3685.5259935736635</v>
      </c>
      <c r="P186" s="2"/>
      <c r="Q186" s="2"/>
      <c r="R186" s="2"/>
    </row>
    <row r="187" spans="2:18" s="5" customFormat="1" ht="15" customHeight="1" x14ac:dyDescent="0.45">
      <c r="B187" s="116"/>
      <c r="C187" s="123"/>
      <c r="D187" s="21" t="s">
        <v>52</v>
      </c>
      <c r="E187" s="29">
        <f>E151+E163+E175</f>
        <v>7246.6666666666661</v>
      </c>
      <c r="F187" s="29">
        <f t="shared" ref="F187:N187" si="120">F151+F163+F175</f>
        <v>13298.888888888889</v>
      </c>
      <c r="G187" s="29">
        <f t="shared" si="120"/>
        <v>18355.740740740741</v>
      </c>
      <c r="H187" s="29">
        <f t="shared" si="120"/>
        <v>22583.117283950618</v>
      </c>
      <c r="I187" s="30">
        <f t="shared" si="120"/>
        <v>26119.264403292182</v>
      </c>
      <c r="J187" s="29">
        <f t="shared" si="120"/>
        <v>29079.387002743486</v>
      </c>
      <c r="K187" s="29">
        <f t="shared" si="120"/>
        <v>31559.489168952907</v>
      </c>
      <c r="L187" s="29">
        <f t="shared" si="120"/>
        <v>33639.574307460753</v>
      </c>
      <c r="M187" s="29">
        <f t="shared" si="120"/>
        <v>35386.311922883971</v>
      </c>
      <c r="N187" s="29">
        <f t="shared" si="120"/>
        <v>36855.259935736627</v>
      </c>
      <c r="P187" s="2"/>
      <c r="Q187" s="2"/>
      <c r="R187" s="2"/>
    </row>
    <row r="188" spans="2:18" s="5" customFormat="1" ht="15" customHeight="1" x14ac:dyDescent="0.45">
      <c r="B188" s="116"/>
      <c r="C188" s="124">
        <v>1000000</v>
      </c>
      <c r="D188" s="17" t="s">
        <v>19</v>
      </c>
      <c r="E188" s="31">
        <f>E152+E164+E176</f>
        <v>18116.666666666664</v>
      </c>
      <c r="F188" s="31">
        <f t="shared" ref="F188:N188" si="121">F152+F164+F176</f>
        <v>15130.55555555556</v>
      </c>
      <c r="G188" s="31">
        <f t="shared" si="121"/>
        <v>12642.129629629624</v>
      </c>
      <c r="H188" s="31">
        <f t="shared" si="121"/>
        <v>10568.441358024696</v>
      </c>
      <c r="I188" s="31">
        <f t="shared" si="121"/>
        <v>8840.3677983539055</v>
      </c>
      <c r="J188" s="31">
        <f t="shared" si="121"/>
        <v>7400.3064986282652</v>
      </c>
      <c r="K188" s="31">
        <f t="shared" si="121"/>
        <v>6200.2554155235448</v>
      </c>
      <c r="L188" s="31">
        <f t="shared" si="121"/>
        <v>5200.212846269621</v>
      </c>
      <c r="M188" s="31">
        <f t="shared" si="121"/>
        <v>4366.8440385580116</v>
      </c>
      <c r="N188" s="31">
        <f t="shared" si="121"/>
        <v>3672.3700321316878</v>
      </c>
      <c r="P188" s="2"/>
      <c r="Q188" s="2"/>
      <c r="R188" s="2"/>
    </row>
    <row r="189" spans="2:18" s="5" customFormat="1" ht="15" customHeight="1" x14ac:dyDescent="0.45">
      <c r="B189" s="116"/>
      <c r="C189" s="124"/>
      <c r="D189" s="17" t="s">
        <v>22</v>
      </c>
      <c r="E189" s="31"/>
      <c r="F189" s="31"/>
      <c r="G189" s="31"/>
      <c r="H189" s="31"/>
      <c r="I189" s="32">
        <f>SUM(E188:I188)/5</f>
        <v>13059.632201646091</v>
      </c>
      <c r="J189" s="31"/>
      <c r="K189" s="31"/>
      <c r="L189" s="31"/>
      <c r="M189" s="31"/>
      <c r="N189" s="31">
        <f>SUM(E188:N188)/10</f>
        <v>9213.8149839341604</v>
      </c>
      <c r="P189" s="2"/>
      <c r="Q189" s="2"/>
      <c r="R189" s="2"/>
    </row>
    <row r="190" spans="2:18" s="5" customFormat="1" ht="15" customHeight="1" x14ac:dyDescent="0.45">
      <c r="B190" s="116"/>
      <c r="C190" s="124"/>
      <c r="D190" s="17" t="s">
        <v>52</v>
      </c>
      <c r="E190" s="31">
        <f>E154+E166+E178</f>
        <v>18116.666666666664</v>
      </c>
      <c r="F190" s="31">
        <f t="shared" ref="F190:N190" si="122">F154+F166+F178</f>
        <v>33247.222222222219</v>
      </c>
      <c r="G190" s="31">
        <f t="shared" si="122"/>
        <v>45889.351851851854</v>
      </c>
      <c r="H190" s="31">
        <f t="shared" si="122"/>
        <v>56457.793209876545</v>
      </c>
      <c r="I190" s="32">
        <f t="shared" si="122"/>
        <v>65298.161008230454</v>
      </c>
      <c r="J190" s="31">
        <f t="shared" si="122"/>
        <v>72698.467506858709</v>
      </c>
      <c r="K190" s="31">
        <f t="shared" si="122"/>
        <v>78898.722922382265</v>
      </c>
      <c r="L190" s="31">
        <f t="shared" si="122"/>
        <v>84098.935768651878</v>
      </c>
      <c r="M190" s="31">
        <f t="shared" si="122"/>
        <v>88465.779807209925</v>
      </c>
      <c r="N190" s="31">
        <f t="shared" si="122"/>
        <v>92138.149839341597</v>
      </c>
      <c r="P190" s="2"/>
      <c r="Q190" s="2"/>
      <c r="R190" s="2"/>
    </row>
    <row r="191" spans="2:18" s="5" customFormat="1" ht="15" customHeight="1" x14ac:dyDescent="0.45">
      <c r="B191" s="116"/>
      <c r="C191" s="124">
        <v>2100000</v>
      </c>
      <c r="D191" s="17" t="s">
        <v>19</v>
      </c>
      <c r="E191" s="31">
        <f>E155+E167+E179</f>
        <v>38045</v>
      </c>
      <c r="F191" s="31">
        <f t="shared" ref="F191:N191" si="123">F155+F167+F179</f>
        <v>31774.166666666675</v>
      </c>
      <c r="G191" s="31">
        <f t="shared" si="123"/>
        <v>26548.472222222215</v>
      </c>
      <c r="H191" s="31">
        <f t="shared" si="123"/>
        <v>22193.726851851861</v>
      </c>
      <c r="I191" s="31">
        <f t="shared" si="123"/>
        <v>18564.772376543206</v>
      </c>
      <c r="J191" s="31">
        <f t="shared" si="123"/>
        <v>15540.643647119357</v>
      </c>
      <c r="K191" s="31">
        <f t="shared" si="123"/>
        <v>13020.536372599445</v>
      </c>
      <c r="L191" s="31">
        <f t="shared" si="123"/>
        <v>10920.446977166204</v>
      </c>
      <c r="M191" s="31">
        <f t="shared" si="123"/>
        <v>9170.372480971826</v>
      </c>
      <c r="N191" s="31">
        <f t="shared" si="123"/>
        <v>7711.9770674765441</v>
      </c>
      <c r="P191" s="2"/>
      <c r="Q191" s="2"/>
      <c r="R191" s="2"/>
    </row>
    <row r="192" spans="2:18" s="5" customFormat="1" ht="15" customHeight="1" x14ac:dyDescent="0.45">
      <c r="B192" s="116"/>
      <c r="C192" s="124"/>
      <c r="D192" s="17" t="s">
        <v>22</v>
      </c>
      <c r="E192" s="31"/>
      <c r="F192" s="31"/>
      <c r="G192" s="31"/>
      <c r="H192" s="31"/>
      <c r="I192" s="32">
        <f>SUM(E191:I191)/5</f>
        <v>27425.227623456791</v>
      </c>
      <c r="J192" s="31"/>
      <c r="K192" s="31"/>
      <c r="L192" s="31"/>
      <c r="M192" s="31"/>
      <c r="N192" s="31">
        <f>SUM(E191:N191)/10</f>
        <v>19349.011466261734</v>
      </c>
      <c r="P192" s="2"/>
      <c r="Q192" s="2"/>
      <c r="R192" s="2"/>
    </row>
    <row r="193" spans="2:18" s="5" customFormat="1" ht="15" customHeight="1" x14ac:dyDescent="0.45">
      <c r="B193" s="116"/>
      <c r="C193" s="124"/>
      <c r="D193" s="17" t="s">
        <v>52</v>
      </c>
      <c r="E193" s="31">
        <f>E157+E169+E181</f>
        <v>38045</v>
      </c>
      <c r="F193" s="31">
        <f t="shared" ref="F193:N193" si="124">F157+F169+F181</f>
        <v>69819.166666666672</v>
      </c>
      <c r="G193" s="31">
        <f t="shared" si="124"/>
        <v>96367.638888888891</v>
      </c>
      <c r="H193" s="31">
        <f t="shared" si="124"/>
        <v>118561.36574074076</v>
      </c>
      <c r="I193" s="32">
        <f t="shared" si="124"/>
        <v>137126.13811728396</v>
      </c>
      <c r="J193" s="31">
        <f t="shared" si="124"/>
        <v>152666.78176440328</v>
      </c>
      <c r="K193" s="31">
        <f t="shared" si="124"/>
        <v>165687.31813700276</v>
      </c>
      <c r="L193" s="31">
        <f t="shared" si="124"/>
        <v>176607.76511416899</v>
      </c>
      <c r="M193" s="31">
        <f t="shared" si="124"/>
        <v>185778.13759514081</v>
      </c>
      <c r="N193" s="31">
        <f t="shared" si="124"/>
        <v>193490.11466261733</v>
      </c>
      <c r="P193" s="2"/>
      <c r="Q193" s="2"/>
      <c r="R193" s="2"/>
    </row>
    <row r="194" spans="2:18" s="5" customFormat="1" ht="15" customHeight="1" x14ac:dyDescent="0.45">
      <c r="B194" s="4"/>
      <c r="C194" s="1"/>
      <c r="D194" s="48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P194" s="2"/>
      <c r="Q194" s="2"/>
      <c r="R194" s="2"/>
    </row>
    <row r="195" spans="2:18" s="5" customFormat="1" ht="15" customHeight="1" x14ac:dyDescent="0.45">
      <c r="B195" s="2"/>
      <c r="C195" s="2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P195" s="2"/>
      <c r="Q195" s="2"/>
      <c r="R195" s="2"/>
    </row>
  </sheetData>
  <mergeCells count="121">
    <mergeCell ref="B158:B169"/>
    <mergeCell ref="C158:C160"/>
    <mergeCell ref="C161:C163"/>
    <mergeCell ref="C164:C166"/>
    <mergeCell ref="C167:C169"/>
    <mergeCell ref="B182:B193"/>
    <mergeCell ref="C182:C184"/>
    <mergeCell ref="C185:C187"/>
    <mergeCell ref="C188:C190"/>
    <mergeCell ref="C191:C193"/>
    <mergeCell ref="B170:B181"/>
    <mergeCell ref="C170:C172"/>
    <mergeCell ref="C173:C175"/>
    <mergeCell ref="C176:C178"/>
    <mergeCell ref="C179:C181"/>
    <mergeCell ref="J144:J145"/>
    <mergeCell ref="K144:K145"/>
    <mergeCell ref="L144:L145"/>
    <mergeCell ref="M144:M145"/>
    <mergeCell ref="N144:N145"/>
    <mergeCell ref="B146:B157"/>
    <mergeCell ref="C146:C148"/>
    <mergeCell ref="C149:C151"/>
    <mergeCell ref="C152:C154"/>
    <mergeCell ref="C155:C157"/>
    <mergeCell ref="E144:E145"/>
    <mergeCell ref="F144:F145"/>
    <mergeCell ref="G144:G145"/>
    <mergeCell ref="H144:H145"/>
    <mergeCell ref="I144:I145"/>
    <mergeCell ref="B144:B145"/>
    <mergeCell ref="C144:C145"/>
    <mergeCell ref="D144:D145"/>
    <mergeCell ref="B101:B114"/>
    <mergeCell ref="C101:C104"/>
    <mergeCell ref="C105:C109"/>
    <mergeCell ref="C110:C114"/>
    <mergeCell ref="B128:B142"/>
    <mergeCell ref="C128:C132"/>
    <mergeCell ref="C133:C137"/>
    <mergeCell ref="C138:C142"/>
    <mergeCell ref="J86:J87"/>
    <mergeCell ref="B115:B127"/>
    <mergeCell ref="C115:C119"/>
    <mergeCell ref="C120:C122"/>
    <mergeCell ref="C123:C127"/>
    <mergeCell ref="K86:K87"/>
    <mergeCell ref="L86:L87"/>
    <mergeCell ref="M86:M87"/>
    <mergeCell ref="N86:N87"/>
    <mergeCell ref="B88:B100"/>
    <mergeCell ref="C88:C92"/>
    <mergeCell ref="C93:C95"/>
    <mergeCell ref="C96:C100"/>
    <mergeCell ref="B86:B87"/>
    <mergeCell ref="E86:E87"/>
    <mergeCell ref="F86:F87"/>
    <mergeCell ref="G86:G87"/>
    <mergeCell ref="H86:H87"/>
    <mergeCell ref="I86:I87"/>
    <mergeCell ref="B56:B69"/>
    <mergeCell ref="C56:C59"/>
    <mergeCell ref="C60:C64"/>
    <mergeCell ref="C65:C69"/>
    <mergeCell ref="B70:B84"/>
    <mergeCell ref="C70:C74"/>
    <mergeCell ref="C75:C79"/>
    <mergeCell ref="C80:C84"/>
    <mergeCell ref="L41:L42"/>
    <mergeCell ref="M41:M42"/>
    <mergeCell ref="N41:N42"/>
    <mergeCell ref="B43:B55"/>
    <mergeCell ref="C43:C47"/>
    <mergeCell ref="C48:C50"/>
    <mergeCell ref="C51:C55"/>
    <mergeCell ref="F41:F42"/>
    <mergeCell ref="G41:G42"/>
    <mergeCell ref="H41:H42"/>
    <mergeCell ref="I41:I42"/>
    <mergeCell ref="J41:J42"/>
    <mergeCell ref="K41:K42"/>
    <mergeCell ref="B41:B42"/>
    <mergeCell ref="E41:E42"/>
    <mergeCell ref="N25:N26"/>
    <mergeCell ref="B27:B39"/>
    <mergeCell ref="C27:C31"/>
    <mergeCell ref="C32:C34"/>
    <mergeCell ref="C35:C39"/>
    <mergeCell ref="H25:H26"/>
    <mergeCell ref="I25:I26"/>
    <mergeCell ref="J25:J26"/>
    <mergeCell ref="K25:K26"/>
    <mergeCell ref="L25:L26"/>
    <mergeCell ref="M25:M26"/>
    <mergeCell ref="B16:B17"/>
    <mergeCell ref="C16:C17"/>
    <mergeCell ref="C14:C15"/>
    <mergeCell ref="D14:D15"/>
    <mergeCell ref="B25:B26"/>
    <mergeCell ref="E25:E26"/>
    <mergeCell ref="F25:F26"/>
    <mergeCell ref="G25:G26"/>
    <mergeCell ref="J14:J15"/>
    <mergeCell ref="C22:C23"/>
    <mergeCell ref="B22:B23"/>
    <mergeCell ref="C18:C21"/>
    <mergeCell ref="B18:B21"/>
    <mergeCell ref="M14:M15"/>
    <mergeCell ref="N14:N15"/>
    <mergeCell ref="D2:E3"/>
    <mergeCell ref="G2:I3"/>
    <mergeCell ref="B14:B15"/>
    <mergeCell ref="E14:E15"/>
    <mergeCell ref="F14:F15"/>
    <mergeCell ref="G14:G15"/>
    <mergeCell ref="H14:H15"/>
    <mergeCell ref="I14:I15"/>
    <mergeCell ref="K2:N2"/>
    <mergeCell ref="K14:K15"/>
    <mergeCell ref="L14:L15"/>
    <mergeCell ref="B2:C12"/>
  </mergeCells>
  <conditionalFormatting sqref="E10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  <ignoredErrors>
    <ignoredError sqref="E10" formulaRange="1"/>
    <ignoredError sqref="I37 N37 I53 N53 I62 N62 I67 N67 I77 N77 I82 N82 I98 N98 I107 N107 I112 N112 I135 N135 I140 N140 I183 N183 I189 N18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A8B3-4D3D-4488-B4BF-24906CFC65EC}">
  <dimension ref="A1:N42"/>
  <sheetViews>
    <sheetView zoomScaleNormal="100" workbookViewId="0">
      <selection activeCell="B2" sqref="B2:B8"/>
    </sheetView>
  </sheetViews>
  <sheetFormatPr defaultRowHeight="15" customHeight="1" x14ac:dyDescent="0.45"/>
  <cols>
    <col min="1" max="1" width="1.73046875" style="2" customWidth="1"/>
    <col min="2" max="2" width="40.9296875" style="2" customWidth="1"/>
    <col min="3" max="3" width="24.1328125" style="2" bestFit="1" customWidth="1"/>
    <col min="4" max="13" width="13.6640625" style="2" customWidth="1"/>
    <col min="14" max="14" width="1.6640625" style="2" customWidth="1"/>
    <col min="15" max="15" width="14.46484375" style="2" customWidth="1"/>
    <col min="16" max="16" width="1.53125" style="2" customWidth="1"/>
    <col min="17" max="16384" width="9.06640625" style="2"/>
  </cols>
  <sheetData>
    <row r="1" spans="1:14" ht="1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2"/>
    </row>
    <row r="2" spans="1:14" ht="15" customHeight="1" x14ac:dyDescent="0.45">
      <c r="A2" s="5"/>
      <c r="B2" s="95" t="s">
        <v>82</v>
      </c>
      <c r="C2" s="105" t="s">
        <v>28</v>
      </c>
      <c r="D2" s="99"/>
      <c r="E2" s="6"/>
      <c r="F2" s="131" t="s">
        <v>23</v>
      </c>
      <c r="G2" s="131"/>
      <c r="H2" s="131"/>
      <c r="I2" s="131"/>
      <c r="J2" s="7"/>
      <c r="K2" s="7"/>
      <c r="L2" s="7"/>
      <c r="M2" s="7"/>
      <c r="N2" s="5"/>
    </row>
    <row r="3" spans="1:14" ht="15" customHeight="1" x14ac:dyDescent="0.45">
      <c r="A3" s="5"/>
      <c r="B3" s="95"/>
      <c r="C3" s="100"/>
      <c r="D3" s="101"/>
      <c r="E3" s="6"/>
      <c r="F3" s="131"/>
      <c r="G3" s="131"/>
      <c r="H3" s="131"/>
      <c r="I3" s="131"/>
      <c r="J3" s="7"/>
      <c r="K3" s="7"/>
      <c r="L3" s="7"/>
      <c r="M3" s="7"/>
      <c r="N3" s="5"/>
    </row>
    <row r="4" spans="1:14" ht="15" customHeight="1" x14ac:dyDescent="0.45">
      <c r="A4" s="5"/>
      <c r="B4" s="95"/>
      <c r="C4" s="37" t="s">
        <v>2</v>
      </c>
      <c r="D4" s="38">
        <v>100000</v>
      </c>
      <c r="E4" s="6"/>
      <c r="F4" s="74" t="s">
        <v>24</v>
      </c>
      <c r="G4" s="60"/>
      <c r="H4" s="76"/>
      <c r="I4" s="86">
        <v>314.25</v>
      </c>
      <c r="J4" s="7"/>
      <c r="K4" s="7"/>
      <c r="L4" s="7"/>
      <c r="M4" s="7"/>
      <c r="N4" s="5"/>
    </row>
    <row r="5" spans="1:14" ht="15" customHeight="1" x14ac:dyDescent="0.45">
      <c r="A5" s="5"/>
      <c r="B5" s="95"/>
      <c r="C5" s="7"/>
      <c r="D5" s="7"/>
      <c r="E5" s="5"/>
      <c r="F5" s="74" t="s">
        <v>25</v>
      </c>
      <c r="G5" s="60"/>
      <c r="H5" s="76"/>
      <c r="I5" s="87">
        <v>42005</v>
      </c>
      <c r="J5" s="7"/>
      <c r="K5" s="7"/>
      <c r="L5" s="7"/>
      <c r="M5" s="7"/>
      <c r="N5" s="5"/>
    </row>
    <row r="6" spans="1:14" ht="15" customHeight="1" x14ac:dyDescent="0.45">
      <c r="A6" s="5"/>
      <c r="B6" s="95"/>
      <c r="C6" s="7"/>
      <c r="D6" s="7"/>
      <c r="E6" s="5"/>
      <c r="F6" s="74" t="s">
        <v>26</v>
      </c>
      <c r="G6" s="60"/>
      <c r="H6" s="76"/>
      <c r="I6" s="86">
        <v>94443.520000000004</v>
      </c>
      <c r="J6" s="7"/>
      <c r="K6" s="7"/>
      <c r="L6" s="7"/>
      <c r="M6" s="7"/>
      <c r="N6" s="5"/>
    </row>
    <row r="7" spans="1:14" ht="15" customHeight="1" x14ac:dyDescent="0.45">
      <c r="A7" s="5"/>
      <c r="B7" s="95"/>
      <c r="C7" s="7"/>
      <c r="D7" s="7"/>
      <c r="E7" s="5"/>
      <c r="F7" s="74" t="s">
        <v>27</v>
      </c>
      <c r="G7" s="60"/>
      <c r="H7" s="76"/>
      <c r="I7" s="87">
        <v>45658</v>
      </c>
      <c r="J7" s="7"/>
      <c r="K7" s="7"/>
      <c r="L7" s="7"/>
      <c r="M7" s="7"/>
      <c r="N7" s="5"/>
    </row>
    <row r="8" spans="1:14" ht="15" customHeight="1" x14ac:dyDescent="0.45">
      <c r="A8" s="61"/>
      <c r="B8" s="97"/>
      <c r="C8" s="7"/>
      <c r="D8" s="7"/>
      <c r="F8" s="21" t="s">
        <v>29</v>
      </c>
      <c r="G8" s="60"/>
      <c r="H8" s="76"/>
      <c r="I8" s="75">
        <f>(I6/I4)^(1/DATEDIF(I5,I7,"Y"))-1</f>
        <v>0.76925197017405411</v>
      </c>
      <c r="J8" s="7"/>
      <c r="K8" s="7"/>
      <c r="L8" s="7"/>
      <c r="M8" s="7"/>
      <c r="N8" s="5"/>
    </row>
    <row r="9" spans="1:14" ht="15" customHeight="1" x14ac:dyDescent="0.45">
      <c r="A9" s="1"/>
      <c r="B9" s="1"/>
      <c r="C9" s="77"/>
      <c r="D9" s="7"/>
      <c r="E9" s="6"/>
      <c r="F9" s="7"/>
      <c r="G9" s="7"/>
      <c r="H9" s="7"/>
      <c r="I9" s="7"/>
      <c r="J9" s="7"/>
      <c r="K9" s="7"/>
      <c r="L9" s="7"/>
      <c r="M9" s="7"/>
      <c r="N9" s="5"/>
    </row>
    <row r="10" spans="1:14" ht="30" customHeight="1" x14ac:dyDescent="0.45">
      <c r="A10" s="5"/>
      <c r="B10" s="88" t="s">
        <v>70</v>
      </c>
      <c r="C10" s="89"/>
      <c r="D10" s="90" t="s">
        <v>3</v>
      </c>
      <c r="E10" s="90" t="s">
        <v>4</v>
      </c>
      <c r="F10" s="90" t="s">
        <v>5</v>
      </c>
      <c r="G10" s="90" t="s">
        <v>6</v>
      </c>
      <c r="H10" s="90" t="s">
        <v>7</v>
      </c>
      <c r="I10" s="90" t="s">
        <v>8</v>
      </c>
      <c r="J10" s="90" t="s">
        <v>9</v>
      </c>
      <c r="K10" s="90" t="s">
        <v>10</v>
      </c>
      <c r="L10" s="90" t="s">
        <v>11</v>
      </c>
      <c r="M10" s="90" t="s">
        <v>12</v>
      </c>
      <c r="N10" s="8"/>
    </row>
    <row r="11" spans="1:14" ht="30" customHeight="1" x14ac:dyDescent="0.45">
      <c r="A11" s="5"/>
      <c r="B11" s="46" t="s">
        <v>30</v>
      </c>
      <c r="C11" s="46" t="s">
        <v>65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5"/>
    </row>
    <row r="12" spans="1:14" ht="15" customHeight="1" x14ac:dyDescent="0.45">
      <c r="A12" s="5"/>
      <c r="B12" s="127">
        <v>0.2</v>
      </c>
      <c r="C12" s="72" t="s">
        <v>0</v>
      </c>
      <c r="D12" s="62">
        <f>($D$4 * $B12) + $D$4</f>
        <v>120000</v>
      </c>
      <c r="E12" s="63">
        <f>(D12 * $B12) + D12</f>
        <v>144000</v>
      </c>
      <c r="F12" s="63">
        <f t="shared" ref="F12:M12" si="0">(E12 * $B12) + E12</f>
        <v>172800</v>
      </c>
      <c r="G12" s="63">
        <f t="shared" si="0"/>
        <v>207360</v>
      </c>
      <c r="H12" s="63">
        <f t="shared" si="0"/>
        <v>248832</v>
      </c>
      <c r="I12" s="63">
        <f t="shared" si="0"/>
        <v>298598.40000000002</v>
      </c>
      <c r="J12" s="63">
        <f t="shared" si="0"/>
        <v>358318.08000000002</v>
      </c>
      <c r="K12" s="63">
        <f t="shared" si="0"/>
        <v>429981.696</v>
      </c>
      <c r="L12" s="63">
        <f t="shared" si="0"/>
        <v>515978.03519999998</v>
      </c>
      <c r="M12" s="63">
        <f t="shared" si="0"/>
        <v>619173.64223999996</v>
      </c>
      <c r="N12" s="9"/>
    </row>
    <row r="13" spans="1:14" ht="15" customHeight="1" x14ac:dyDescent="0.45">
      <c r="A13" s="5"/>
      <c r="B13" s="127"/>
      <c r="C13" s="71" t="s">
        <v>1</v>
      </c>
      <c r="D13" s="64">
        <f>D12*21000000</f>
        <v>2520000000000</v>
      </c>
      <c r="E13" s="65">
        <f t="shared" ref="E13:M13" si="1">E12*21000000</f>
        <v>3024000000000</v>
      </c>
      <c r="F13" s="65">
        <f t="shared" si="1"/>
        <v>3628800000000</v>
      </c>
      <c r="G13" s="65">
        <f t="shared" si="1"/>
        <v>4354560000000</v>
      </c>
      <c r="H13" s="65">
        <f t="shared" si="1"/>
        <v>5225472000000</v>
      </c>
      <c r="I13" s="65">
        <f t="shared" si="1"/>
        <v>6270566400000.001</v>
      </c>
      <c r="J13" s="65">
        <f t="shared" si="1"/>
        <v>7524679680000</v>
      </c>
      <c r="K13" s="65">
        <f t="shared" si="1"/>
        <v>9029615616000</v>
      </c>
      <c r="L13" s="65">
        <f t="shared" si="1"/>
        <v>10835538739200</v>
      </c>
      <c r="M13" s="65">
        <f t="shared" si="1"/>
        <v>13002646487040</v>
      </c>
      <c r="N13" s="9"/>
    </row>
    <row r="14" spans="1:14" ht="15" customHeight="1" x14ac:dyDescent="0.45">
      <c r="A14" s="5"/>
      <c r="B14" s="127"/>
      <c r="C14" s="73" t="s">
        <v>14</v>
      </c>
      <c r="D14" s="66">
        <f>( ( D12 - $D$4 ) ) / D12</f>
        <v>0.16666666666666666</v>
      </c>
      <c r="E14" s="66">
        <f t="shared" ref="E14:M14" si="2">( ( E12 - $D$4 ) ) / E12</f>
        <v>0.30555555555555558</v>
      </c>
      <c r="F14" s="66">
        <f t="shared" si="2"/>
        <v>0.42129629629629628</v>
      </c>
      <c r="G14" s="66">
        <f t="shared" si="2"/>
        <v>0.51774691358024694</v>
      </c>
      <c r="H14" s="67">
        <f t="shared" si="2"/>
        <v>0.5981224279835391</v>
      </c>
      <c r="I14" s="66">
        <f t="shared" si="2"/>
        <v>0.66510202331961599</v>
      </c>
      <c r="J14" s="66">
        <f t="shared" si="2"/>
        <v>0.72091835276634664</v>
      </c>
      <c r="K14" s="66">
        <f t="shared" si="2"/>
        <v>0.76743196063862218</v>
      </c>
      <c r="L14" s="66">
        <f t="shared" si="2"/>
        <v>0.80619330053218508</v>
      </c>
      <c r="M14" s="66">
        <f t="shared" si="2"/>
        <v>0.83849441711015427</v>
      </c>
      <c r="N14" s="10"/>
    </row>
    <row r="15" spans="1:14" ht="15" customHeight="1" x14ac:dyDescent="0.45">
      <c r="A15" s="5"/>
      <c r="B15" s="127"/>
      <c r="C15" s="73" t="s">
        <v>13</v>
      </c>
      <c r="D15" s="66">
        <f>1-D14</f>
        <v>0.83333333333333337</v>
      </c>
      <c r="E15" s="66">
        <f t="shared" ref="E15:M15" si="3">1-E14</f>
        <v>0.69444444444444442</v>
      </c>
      <c r="F15" s="66">
        <f t="shared" si="3"/>
        <v>0.57870370370370372</v>
      </c>
      <c r="G15" s="66">
        <f t="shared" si="3"/>
        <v>0.48225308641975306</v>
      </c>
      <c r="H15" s="67">
        <f t="shared" si="3"/>
        <v>0.4018775720164609</v>
      </c>
      <c r="I15" s="66">
        <f t="shared" si="3"/>
        <v>0.33489797668038401</v>
      </c>
      <c r="J15" s="66">
        <f t="shared" si="3"/>
        <v>0.27908164723365336</v>
      </c>
      <c r="K15" s="66">
        <f t="shared" si="3"/>
        <v>0.23256803936137782</v>
      </c>
      <c r="L15" s="66">
        <f t="shared" si="3"/>
        <v>0.19380669946781492</v>
      </c>
      <c r="M15" s="66">
        <f t="shared" si="3"/>
        <v>0.16150558288984573</v>
      </c>
      <c r="N15" s="10"/>
    </row>
    <row r="16" spans="1:14" ht="15" customHeight="1" x14ac:dyDescent="0.45">
      <c r="A16" s="5"/>
      <c r="B16" s="127"/>
      <c r="C16" s="71" t="s">
        <v>15</v>
      </c>
      <c r="D16" s="68">
        <f>D14</f>
        <v>0.16666666666666666</v>
      </c>
      <c r="E16" s="69">
        <f>E14-D14</f>
        <v>0.13888888888888892</v>
      </c>
      <c r="F16" s="69">
        <f>F14-E14</f>
        <v>0.1157407407407407</v>
      </c>
      <c r="G16" s="69">
        <f t="shared" ref="G16:M16" si="4">G14-F14</f>
        <v>9.6450617283950657E-2</v>
      </c>
      <c r="H16" s="69">
        <f t="shared" si="4"/>
        <v>8.0375514403292159E-2</v>
      </c>
      <c r="I16" s="69">
        <f t="shared" si="4"/>
        <v>6.6979595336076891E-2</v>
      </c>
      <c r="J16" s="69">
        <f t="shared" si="4"/>
        <v>5.581632944673065E-2</v>
      </c>
      <c r="K16" s="69">
        <f t="shared" si="4"/>
        <v>4.6513607872275542E-2</v>
      </c>
      <c r="L16" s="69">
        <f t="shared" si="4"/>
        <v>3.8761339893562896E-2</v>
      </c>
      <c r="M16" s="69">
        <f t="shared" si="4"/>
        <v>3.2301116577969191E-2</v>
      </c>
      <c r="N16" s="9"/>
    </row>
    <row r="17" spans="1:14" ht="15" customHeight="1" x14ac:dyDescent="0.45">
      <c r="A17" s="5"/>
      <c r="B17" s="130"/>
      <c r="C17" s="71" t="s">
        <v>31</v>
      </c>
      <c r="D17" s="68"/>
      <c r="E17" s="69"/>
      <c r="F17" s="69"/>
      <c r="G17" s="69"/>
      <c r="H17" s="69">
        <f>SUM(D16:H16)/5</f>
        <v>0.11962448559670782</v>
      </c>
      <c r="I17" s="70"/>
      <c r="J17" s="70"/>
      <c r="K17" s="70"/>
      <c r="L17" s="70"/>
      <c r="M17" s="69">
        <f>SUM(D16:M16)/10</f>
        <v>8.3849441711015424E-2</v>
      </c>
      <c r="N17" s="9"/>
    </row>
    <row r="18" spans="1:14" ht="15" customHeight="1" x14ac:dyDescent="0.45">
      <c r="A18" s="5"/>
      <c r="B18" s="129">
        <v>0.25</v>
      </c>
      <c r="C18" s="71" t="s">
        <v>0</v>
      </c>
      <c r="D18" s="62">
        <f>($D$4 * $B18) + $D$4</f>
        <v>125000</v>
      </c>
      <c r="E18" s="63">
        <f>(D18 * $B18) + D18</f>
        <v>156250</v>
      </c>
      <c r="F18" s="63">
        <f t="shared" ref="F18:M18" si="5">(E18 * $B18) + E18</f>
        <v>195312.5</v>
      </c>
      <c r="G18" s="63">
        <f t="shared" si="5"/>
        <v>244140.625</v>
      </c>
      <c r="H18" s="63">
        <f t="shared" si="5"/>
        <v>305175.78125</v>
      </c>
      <c r="I18" s="63">
        <f t="shared" si="5"/>
        <v>381469.7265625</v>
      </c>
      <c r="J18" s="63">
        <f t="shared" si="5"/>
        <v>476837.158203125</v>
      </c>
      <c r="K18" s="63">
        <f t="shared" si="5"/>
        <v>596046.44775390625</v>
      </c>
      <c r="L18" s="63">
        <f t="shared" si="5"/>
        <v>745058.05969238281</v>
      </c>
      <c r="M18" s="63">
        <f t="shared" si="5"/>
        <v>931322.57461547852</v>
      </c>
      <c r="N18" s="5"/>
    </row>
    <row r="19" spans="1:14" ht="15" customHeight="1" x14ac:dyDescent="0.45">
      <c r="A19" s="5"/>
      <c r="B19" s="127"/>
      <c r="C19" s="71" t="s">
        <v>1</v>
      </c>
      <c r="D19" s="64">
        <f>D18*21000000</f>
        <v>2625000000000</v>
      </c>
      <c r="E19" s="65">
        <f t="shared" ref="E19:M19" si="6">E18*21000000</f>
        <v>3281250000000</v>
      </c>
      <c r="F19" s="65">
        <f t="shared" si="6"/>
        <v>4101562500000</v>
      </c>
      <c r="G19" s="65">
        <f t="shared" si="6"/>
        <v>5126953125000</v>
      </c>
      <c r="H19" s="65">
        <f t="shared" si="6"/>
        <v>6408691406250</v>
      </c>
      <c r="I19" s="65">
        <f t="shared" si="6"/>
        <v>8010864257812.5</v>
      </c>
      <c r="J19" s="65">
        <f t="shared" si="6"/>
        <v>10013580322265.625</v>
      </c>
      <c r="K19" s="65">
        <f t="shared" si="6"/>
        <v>12516975402832.031</v>
      </c>
      <c r="L19" s="65">
        <f t="shared" si="6"/>
        <v>15646219253540.039</v>
      </c>
      <c r="M19" s="65">
        <f t="shared" si="6"/>
        <v>19557774066925.047</v>
      </c>
      <c r="N19" s="5"/>
    </row>
    <row r="20" spans="1:14" ht="15" customHeight="1" x14ac:dyDescent="0.45">
      <c r="A20" s="5"/>
      <c r="B20" s="127"/>
      <c r="C20" s="73" t="s">
        <v>14</v>
      </c>
      <c r="D20" s="66">
        <f>( ( D18 - $D$4 ) ) / D18</f>
        <v>0.2</v>
      </c>
      <c r="E20" s="66">
        <f t="shared" ref="E20:M20" si="7">( ( E18 - $D$4 ) ) / E18</f>
        <v>0.36</v>
      </c>
      <c r="F20" s="66">
        <f t="shared" si="7"/>
        <v>0.48799999999999999</v>
      </c>
      <c r="G20" s="66">
        <f t="shared" si="7"/>
        <v>0.59040000000000004</v>
      </c>
      <c r="H20" s="67">
        <f t="shared" si="7"/>
        <v>0.67232000000000003</v>
      </c>
      <c r="I20" s="66">
        <f t="shared" si="7"/>
        <v>0.73785599999999996</v>
      </c>
      <c r="J20" s="66">
        <f t="shared" si="7"/>
        <v>0.79028480000000001</v>
      </c>
      <c r="K20" s="66">
        <f t="shared" si="7"/>
        <v>0.83222784000000005</v>
      </c>
      <c r="L20" s="66">
        <f t="shared" si="7"/>
        <v>0.86578227200000002</v>
      </c>
      <c r="M20" s="66">
        <f t="shared" si="7"/>
        <v>0.89262581760000004</v>
      </c>
      <c r="N20" s="5"/>
    </row>
    <row r="21" spans="1:14" ht="15" customHeight="1" x14ac:dyDescent="0.45">
      <c r="A21" s="5"/>
      <c r="B21" s="127"/>
      <c r="C21" s="73" t="s">
        <v>13</v>
      </c>
      <c r="D21" s="66">
        <f>1-D20</f>
        <v>0.8</v>
      </c>
      <c r="E21" s="66">
        <f t="shared" ref="E21:M21" si="8">1-E20</f>
        <v>0.64</v>
      </c>
      <c r="F21" s="66">
        <f t="shared" si="8"/>
        <v>0.51200000000000001</v>
      </c>
      <c r="G21" s="66">
        <f t="shared" si="8"/>
        <v>0.40959999999999996</v>
      </c>
      <c r="H21" s="67">
        <f t="shared" si="8"/>
        <v>0.32767999999999997</v>
      </c>
      <c r="I21" s="66">
        <f t="shared" si="8"/>
        <v>0.26214400000000004</v>
      </c>
      <c r="J21" s="66">
        <f t="shared" si="8"/>
        <v>0.20971519999999999</v>
      </c>
      <c r="K21" s="66">
        <f t="shared" si="8"/>
        <v>0.16777215999999995</v>
      </c>
      <c r="L21" s="66">
        <f t="shared" si="8"/>
        <v>0.13421772799999998</v>
      </c>
      <c r="M21" s="66">
        <f t="shared" si="8"/>
        <v>0.10737418239999996</v>
      </c>
      <c r="N21" s="5"/>
    </row>
    <row r="22" spans="1:14" ht="15" customHeight="1" x14ac:dyDescent="0.45">
      <c r="A22" s="5"/>
      <c r="B22" s="127"/>
      <c r="C22" s="71" t="s">
        <v>15</v>
      </c>
      <c r="D22" s="68">
        <f>D20</f>
        <v>0.2</v>
      </c>
      <c r="E22" s="69">
        <f>E20-D20</f>
        <v>0.15999999999999998</v>
      </c>
      <c r="F22" s="69">
        <f>F20-E20</f>
        <v>0.128</v>
      </c>
      <c r="G22" s="69">
        <f t="shared" ref="G22" si="9">G20-F20</f>
        <v>0.10240000000000005</v>
      </c>
      <c r="H22" s="69">
        <f t="shared" ref="H22" si="10">H20-G20</f>
        <v>8.1919999999999993E-2</v>
      </c>
      <c r="I22" s="69">
        <f t="shared" ref="I22" si="11">I20-H20</f>
        <v>6.5535999999999928E-2</v>
      </c>
      <c r="J22" s="69">
        <f t="shared" ref="J22" si="12">J20-I20</f>
        <v>5.2428800000000053E-2</v>
      </c>
      <c r="K22" s="69">
        <f t="shared" ref="K22" si="13">K20-J20</f>
        <v>4.1943040000000043E-2</v>
      </c>
      <c r="L22" s="69">
        <f t="shared" ref="L22" si="14">L20-K20</f>
        <v>3.3554431999999967E-2</v>
      </c>
      <c r="M22" s="69">
        <f t="shared" ref="M22" si="15">M20-L20</f>
        <v>2.6843545600000018E-2</v>
      </c>
      <c r="N22" s="5"/>
    </row>
    <row r="23" spans="1:14" ht="15" customHeight="1" x14ac:dyDescent="0.45">
      <c r="A23" s="5"/>
      <c r="B23" s="130"/>
      <c r="C23" s="71" t="s">
        <v>31</v>
      </c>
      <c r="D23" s="68"/>
      <c r="E23" s="69"/>
      <c r="F23" s="69"/>
      <c r="G23" s="69"/>
      <c r="H23" s="69">
        <f>SUM(D22:H22)/5</f>
        <v>0.134464</v>
      </c>
      <c r="I23" s="70"/>
      <c r="J23" s="70"/>
      <c r="K23" s="70"/>
      <c r="L23" s="70"/>
      <c r="M23" s="69">
        <f>SUM(D22:M22)/10</f>
        <v>8.9262581760000001E-2</v>
      </c>
      <c r="N23" s="5"/>
    </row>
    <row r="24" spans="1:14" ht="15" customHeight="1" x14ac:dyDescent="0.45">
      <c r="A24" s="5"/>
      <c r="B24" s="129">
        <v>0.3</v>
      </c>
      <c r="C24" s="71" t="s">
        <v>0</v>
      </c>
      <c r="D24" s="62">
        <f>($D$4 * $B24) + $D$4</f>
        <v>130000</v>
      </c>
      <c r="E24" s="63">
        <f>(D24 * $B24) + D24</f>
        <v>169000</v>
      </c>
      <c r="F24" s="63">
        <f t="shared" ref="F24:M24" si="16">(E24 * $B24) + E24</f>
        <v>219700</v>
      </c>
      <c r="G24" s="63">
        <f t="shared" si="16"/>
        <v>285610</v>
      </c>
      <c r="H24" s="63">
        <f t="shared" si="16"/>
        <v>371293</v>
      </c>
      <c r="I24" s="63">
        <f t="shared" si="16"/>
        <v>482680.9</v>
      </c>
      <c r="J24" s="63">
        <f t="shared" si="16"/>
        <v>627485.17000000004</v>
      </c>
      <c r="K24" s="63">
        <f t="shared" si="16"/>
        <v>815730.72100000002</v>
      </c>
      <c r="L24" s="63">
        <f t="shared" si="16"/>
        <v>1060449.9373000001</v>
      </c>
      <c r="M24" s="63">
        <f t="shared" si="16"/>
        <v>1378584.9184900001</v>
      </c>
      <c r="N24" s="5"/>
    </row>
    <row r="25" spans="1:14" ht="15" customHeight="1" x14ac:dyDescent="0.45">
      <c r="A25" s="5"/>
      <c r="B25" s="127"/>
      <c r="C25" s="71" t="s">
        <v>1</v>
      </c>
      <c r="D25" s="64">
        <f>D24*21000000</f>
        <v>2730000000000</v>
      </c>
      <c r="E25" s="65">
        <f t="shared" ref="E25:M25" si="17">E24*21000000</f>
        <v>3549000000000</v>
      </c>
      <c r="F25" s="65">
        <f t="shared" si="17"/>
        <v>4613700000000</v>
      </c>
      <c r="G25" s="65">
        <f t="shared" si="17"/>
        <v>5997810000000</v>
      </c>
      <c r="H25" s="65">
        <f t="shared" si="17"/>
        <v>7797153000000</v>
      </c>
      <c r="I25" s="65">
        <f t="shared" si="17"/>
        <v>10136298900000</v>
      </c>
      <c r="J25" s="65">
        <f t="shared" si="17"/>
        <v>13177188570000</v>
      </c>
      <c r="K25" s="65">
        <f t="shared" si="17"/>
        <v>17130345141000</v>
      </c>
      <c r="L25" s="65">
        <f t="shared" si="17"/>
        <v>22269448683300.004</v>
      </c>
      <c r="M25" s="65">
        <f t="shared" si="17"/>
        <v>28950283288290</v>
      </c>
      <c r="N25" s="5"/>
    </row>
    <row r="26" spans="1:14" ht="15" customHeight="1" x14ac:dyDescent="0.45">
      <c r="A26" s="5"/>
      <c r="B26" s="127"/>
      <c r="C26" s="73" t="s">
        <v>14</v>
      </c>
      <c r="D26" s="66">
        <f>( ( D24 - $D$4 ) ) / D24</f>
        <v>0.23076923076923078</v>
      </c>
      <c r="E26" s="66">
        <f t="shared" ref="E26:M26" si="18">( ( E24 - $D$4 ) ) / E24</f>
        <v>0.40828402366863903</v>
      </c>
      <c r="F26" s="66">
        <f t="shared" si="18"/>
        <v>0.54483386436049153</v>
      </c>
      <c r="G26" s="66">
        <f t="shared" si="18"/>
        <v>0.64987220335422424</v>
      </c>
      <c r="H26" s="67">
        <f t="shared" si="18"/>
        <v>0.73067092565709557</v>
      </c>
      <c r="I26" s="66">
        <f t="shared" si="18"/>
        <v>0.79282378896699668</v>
      </c>
      <c r="J26" s="66">
        <f t="shared" si="18"/>
        <v>0.84063368382076664</v>
      </c>
      <c r="K26" s="66">
        <f t="shared" si="18"/>
        <v>0.87741052601597436</v>
      </c>
      <c r="L26" s="66">
        <f t="shared" si="18"/>
        <v>0.90570040462767254</v>
      </c>
      <c r="M26" s="66">
        <f t="shared" si="18"/>
        <v>0.92746184971359424</v>
      </c>
      <c r="N26" s="5"/>
    </row>
    <row r="27" spans="1:14" ht="15" customHeight="1" x14ac:dyDescent="0.45">
      <c r="A27" s="5"/>
      <c r="B27" s="127"/>
      <c r="C27" s="73" t="s">
        <v>13</v>
      </c>
      <c r="D27" s="66">
        <f>1-D26</f>
        <v>0.76923076923076916</v>
      </c>
      <c r="E27" s="66">
        <f t="shared" ref="E27:M27" si="19">1-E26</f>
        <v>0.59171597633136097</v>
      </c>
      <c r="F27" s="66">
        <f t="shared" si="19"/>
        <v>0.45516613563950847</v>
      </c>
      <c r="G27" s="66">
        <f t="shared" si="19"/>
        <v>0.35012779664577576</v>
      </c>
      <c r="H27" s="67">
        <f t="shared" si="19"/>
        <v>0.26932907434290443</v>
      </c>
      <c r="I27" s="66">
        <f t="shared" si="19"/>
        <v>0.20717621103300332</v>
      </c>
      <c r="J27" s="66">
        <f t="shared" si="19"/>
        <v>0.15936631617923336</v>
      </c>
      <c r="K27" s="66">
        <f t="shared" si="19"/>
        <v>0.12258947398402564</v>
      </c>
      <c r="L27" s="66">
        <f t="shared" si="19"/>
        <v>9.429959537232746E-2</v>
      </c>
      <c r="M27" s="66">
        <f t="shared" si="19"/>
        <v>7.2538150286405756E-2</v>
      </c>
      <c r="N27" s="5"/>
    </row>
    <row r="28" spans="1:14" ht="15" customHeight="1" x14ac:dyDescent="0.45">
      <c r="A28" s="5"/>
      <c r="B28" s="127"/>
      <c r="C28" s="71" t="s">
        <v>15</v>
      </c>
      <c r="D28" s="68">
        <f>D26</f>
        <v>0.23076923076923078</v>
      </c>
      <c r="E28" s="69">
        <f>E26-D26</f>
        <v>0.17751479289940825</v>
      </c>
      <c r="F28" s="69">
        <f>F26-E26</f>
        <v>0.1365498406918525</v>
      </c>
      <c r="G28" s="69">
        <f t="shared" ref="G28" si="20">G26-F26</f>
        <v>0.10503833899373272</v>
      </c>
      <c r="H28" s="69">
        <f t="shared" ref="H28" si="21">H26-G26</f>
        <v>8.0798722302871329E-2</v>
      </c>
      <c r="I28" s="69">
        <f t="shared" ref="I28" si="22">I26-H26</f>
        <v>6.2152863309901107E-2</v>
      </c>
      <c r="J28" s="69">
        <f t="shared" ref="J28" si="23">J26-I26</f>
        <v>4.7809894853769963E-2</v>
      </c>
      <c r="K28" s="69">
        <f t="shared" ref="K28" si="24">K26-J26</f>
        <v>3.6776842195207715E-2</v>
      </c>
      <c r="L28" s="69">
        <f t="shared" ref="L28" si="25">L26-K26</f>
        <v>2.8289878611698183E-2</v>
      </c>
      <c r="M28" s="69">
        <f t="shared" ref="M28" si="26">M26-L26</f>
        <v>2.1761445085921705E-2</v>
      </c>
      <c r="N28" s="5"/>
    </row>
    <row r="29" spans="1:14" ht="15" customHeight="1" x14ac:dyDescent="0.45">
      <c r="A29" s="5"/>
      <c r="B29" s="130"/>
      <c r="C29" s="71" t="s">
        <v>31</v>
      </c>
      <c r="D29" s="68"/>
      <c r="E29" s="69"/>
      <c r="F29" s="69"/>
      <c r="G29" s="69"/>
      <c r="H29" s="69">
        <f>SUM(D28:H28)/5</f>
        <v>0.14613418513141913</v>
      </c>
      <c r="I29" s="70"/>
      <c r="J29" s="70"/>
      <c r="K29" s="70"/>
      <c r="L29" s="70"/>
      <c r="M29" s="69">
        <f>SUM(D28:M28)/10</f>
        <v>9.2746184971359419E-2</v>
      </c>
      <c r="N29" s="5"/>
    </row>
    <row r="30" spans="1:14" ht="15" customHeight="1" x14ac:dyDescent="0.45">
      <c r="A30" s="5"/>
      <c r="B30" s="129">
        <v>0.35</v>
      </c>
      <c r="C30" s="71" t="s">
        <v>0</v>
      </c>
      <c r="D30" s="62">
        <f>($D$4 * $B30) + $D$4</f>
        <v>135000</v>
      </c>
      <c r="E30" s="63">
        <f>(D30 * $B30) + D30</f>
        <v>182250</v>
      </c>
      <c r="F30" s="63">
        <f t="shared" ref="F30:M30" si="27">(E30 * $B30) + E30</f>
        <v>246037.5</v>
      </c>
      <c r="G30" s="63">
        <f t="shared" si="27"/>
        <v>332150.625</v>
      </c>
      <c r="H30" s="63">
        <f t="shared" si="27"/>
        <v>448403.34375</v>
      </c>
      <c r="I30" s="63">
        <f t="shared" si="27"/>
        <v>605344.51406249998</v>
      </c>
      <c r="J30" s="63">
        <f t="shared" si="27"/>
        <v>817215.09398437501</v>
      </c>
      <c r="K30" s="63">
        <f t="shared" si="27"/>
        <v>1103240.3768789063</v>
      </c>
      <c r="L30" s="63">
        <f t="shared" si="27"/>
        <v>1489374.5087865235</v>
      </c>
      <c r="M30" s="63">
        <f t="shared" si="27"/>
        <v>2010655.5868618067</v>
      </c>
      <c r="N30" s="5"/>
    </row>
    <row r="31" spans="1:14" ht="15" customHeight="1" x14ac:dyDescent="0.45">
      <c r="A31" s="5"/>
      <c r="B31" s="127"/>
      <c r="C31" s="71" t="s">
        <v>1</v>
      </c>
      <c r="D31" s="64">
        <f>D30*21000000</f>
        <v>2835000000000</v>
      </c>
      <c r="E31" s="65">
        <f t="shared" ref="E31:M31" si="28">E30*21000000</f>
        <v>3827250000000</v>
      </c>
      <c r="F31" s="65">
        <f t="shared" si="28"/>
        <v>5166787500000</v>
      </c>
      <c r="G31" s="65">
        <f t="shared" si="28"/>
        <v>6975163125000</v>
      </c>
      <c r="H31" s="65">
        <f t="shared" si="28"/>
        <v>9416470218750</v>
      </c>
      <c r="I31" s="65">
        <f t="shared" si="28"/>
        <v>12712234795312.5</v>
      </c>
      <c r="J31" s="65">
        <f t="shared" si="28"/>
        <v>17161516973671.875</v>
      </c>
      <c r="K31" s="65">
        <f t="shared" si="28"/>
        <v>23168047914457.031</v>
      </c>
      <c r="L31" s="65">
        <f t="shared" si="28"/>
        <v>31276864684516.992</v>
      </c>
      <c r="M31" s="65">
        <f t="shared" si="28"/>
        <v>42223767324097.938</v>
      </c>
      <c r="N31" s="5"/>
    </row>
    <row r="32" spans="1:14" ht="15" customHeight="1" x14ac:dyDescent="0.45">
      <c r="A32" s="5"/>
      <c r="B32" s="127"/>
      <c r="C32" s="73" t="s">
        <v>14</v>
      </c>
      <c r="D32" s="66">
        <f>( ( D30 - $D$4 ) ) / D30</f>
        <v>0.25925925925925924</v>
      </c>
      <c r="E32" s="66">
        <f t="shared" ref="E32:M32" si="29">( ( E30 - $D$4 ) ) / E30</f>
        <v>0.45130315500685869</v>
      </c>
      <c r="F32" s="66">
        <f t="shared" si="29"/>
        <v>0.59355789259767311</v>
      </c>
      <c r="G32" s="66">
        <f t="shared" ref="G32" si="30">( ( G30 - $D$4 ) ) / G30</f>
        <v>0.69893177229457271</v>
      </c>
      <c r="H32" s="67">
        <f t="shared" si="29"/>
        <v>0.77698649799597974</v>
      </c>
      <c r="I32" s="66">
        <f t="shared" si="29"/>
        <v>0.83480481333035539</v>
      </c>
      <c r="J32" s="66">
        <f t="shared" si="29"/>
        <v>0.87763319505952253</v>
      </c>
      <c r="K32" s="66">
        <f t="shared" si="29"/>
        <v>0.90935792226631296</v>
      </c>
      <c r="L32" s="66">
        <f t="shared" si="29"/>
        <v>0.93285772019726887</v>
      </c>
      <c r="M32" s="66">
        <f t="shared" si="29"/>
        <v>0.95026497792390285</v>
      </c>
      <c r="N32" s="5"/>
    </row>
    <row r="33" spans="1:14" ht="15" customHeight="1" x14ac:dyDescent="0.45">
      <c r="A33" s="5"/>
      <c r="B33" s="127"/>
      <c r="C33" s="73" t="s">
        <v>13</v>
      </c>
      <c r="D33" s="66">
        <f>1-D32</f>
        <v>0.7407407407407407</v>
      </c>
      <c r="E33" s="66">
        <f t="shared" ref="E33:M33" si="31">1-E32</f>
        <v>0.54869684499314131</v>
      </c>
      <c r="F33" s="66">
        <f t="shared" si="31"/>
        <v>0.40644210740232689</v>
      </c>
      <c r="G33" s="66">
        <f t="shared" ref="G33" si="32">1-G32</f>
        <v>0.30106822770542729</v>
      </c>
      <c r="H33" s="67">
        <f t="shared" si="31"/>
        <v>0.22301350200402026</v>
      </c>
      <c r="I33" s="66">
        <f t="shared" si="31"/>
        <v>0.16519518666964461</v>
      </c>
      <c r="J33" s="66">
        <f t="shared" si="31"/>
        <v>0.12236680494047747</v>
      </c>
      <c r="K33" s="66">
        <f t="shared" si="31"/>
        <v>9.0642077733687043E-2</v>
      </c>
      <c r="L33" s="66">
        <f t="shared" si="31"/>
        <v>6.7142279802731131E-2</v>
      </c>
      <c r="M33" s="66">
        <f t="shared" si="31"/>
        <v>4.9735022076097146E-2</v>
      </c>
      <c r="N33" s="5"/>
    </row>
    <row r="34" spans="1:14" ht="15" customHeight="1" x14ac:dyDescent="0.45">
      <c r="A34" s="5"/>
      <c r="B34" s="127"/>
      <c r="C34" s="71" t="s">
        <v>15</v>
      </c>
      <c r="D34" s="68">
        <f>D32</f>
        <v>0.25925925925925924</v>
      </c>
      <c r="E34" s="69">
        <f>E32-D32</f>
        <v>0.19204389574759945</v>
      </c>
      <c r="F34" s="69">
        <f>F32-E32</f>
        <v>0.14225473759081442</v>
      </c>
      <c r="G34" s="69">
        <f t="shared" ref="G34" si="33">G32-F32</f>
        <v>0.1053738796968996</v>
      </c>
      <c r="H34" s="69">
        <f t="shared" ref="H34" si="34">H32-G32</f>
        <v>7.8054725701407035E-2</v>
      </c>
      <c r="I34" s="69">
        <f t="shared" ref="I34" si="35">I32-H32</f>
        <v>5.7818315334375647E-2</v>
      </c>
      <c r="J34" s="69">
        <f t="shared" ref="J34" si="36">J32-I32</f>
        <v>4.2828381729167142E-2</v>
      </c>
      <c r="K34" s="69">
        <f t="shared" ref="K34" si="37">K32-J32</f>
        <v>3.1724727206790426E-2</v>
      </c>
      <c r="L34" s="69">
        <f t="shared" ref="L34" si="38">L32-K32</f>
        <v>2.3499797930955912E-2</v>
      </c>
      <c r="M34" s="69">
        <f t="shared" ref="M34" si="39">M32-L32</f>
        <v>1.7407257726633985E-2</v>
      </c>
      <c r="N34" s="5"/>
    </row>
    <row r="35" spans="1:14" ht="15" customHeight="1" x14ac:dyDescent="0.45">
      <c r="A35" s="5"/>
      <c r="B35" s="130"/>
      <c r="C35" s="71" t="s">
        <v>31</v>
      </c>
      <c r="D35" s="68"/>
      <c r="E35" s="69"/>
      <c r="F35" s="69"/>
      <c r="G35" s="69"/>
      <c r="H35" s="69">
        <f>SUM(D34:H34)/5</f>
        <v>0.15539729959919596</v>
      </c>
      <c r="I35" s="70"/>
      <c r="J35" s="70"/>
      <c r="K35" s="70"/>
      <c r="L35" s="70"/>
      <c r="M35" s="69">
        <f>SUM(D34:M34)/10</f>
        <v>9.502649779239028E-2</v>
      </c>
      <c r="N35" s="5"/>
    </row>
    <row r="36" spans="1:14" ht="15" customHeight="1" x14ac:dyDescent="0.45">
      <c r="A36" s="5"/>
      <c r="B36" s="127">
        <v>0.4</v>
      </c>
      <c r="C36" s="71" t="s">
        <v>0</v>
      </c>
      <c r="D36" s="62">
        <f>($D$4 * $B36) + $D$4</f>
        <v>140000</v>
      </c>
      <c r="E36" s="63">
        <f>(D36 * $B36) + D36</f>
        <v>196000</v>
      </c>
      <c r="F36" s="63">
        <f t="shared" ref="F36:M36" si="40">(E36 * $B36) + E36</f>
        <v>274400</v>
      </c>
      <c r="G36" s="63">
        <f t="shared" si="40"/>
        <v>384160</v>
      </c>
      <c r="H36" s="63">
        <f t="shared" si="40"/>
        <v>537824</v>
      </c>
      <c r="I36" s="63">
        <f t="shared" si="40"/>
        <v>752953.6</v>
      </c>
      <c r="J36" s="63">
        <f t="shared" si="40"/>
        <v>1054135.04</v>
      </c>
      <c r="K36" s="63">
        <f t="shared" si="40"/>
        <v>1475789.0560000001</v>
      </c>
      <c r="L36" s="63">
        <f t="shared" si="40"/>
        <v>2066104.6784000001</v>
      </c>
      <c r="M36" s="63">
        <f t="shared" si="40"/>
        <v>2892546.5497600003</v>
      </c>
      <c r="N36" s="5"/>
    </row>
    <row r="37" spans="1:14" ht="15" customHeight="1" x14ac:dyDescent="0.45">
      <c r="A37" s="5"/>
      <c r="B37" s="127"/>
      <c r="C37" s="71" t="s">
        <v>1</v>
      </c>
      <c r="D37" s="64">
        <f>D36*21000000</f>
        <v>2940000000000</v>
      </c>
      <c r="E37" s="65">
        <f t="shared" ref="E37:M37" si="41">E36*21000000</f>
        <v>4116000000000</v>
      </c>
      <c r="F37" s="65">
        <f t="shared" si="41"/>
        <v>5762400000000</v>
      </c>
      <c r="G37" s="65">
        <f t="shared" si="41"/>
        <v>8067360000000</v>
      </c>
      <c r="H37" s="65">
        <f t="shared" si="41"/>
        <v>11294304000000</v>
      </c>
      <c r="I37" s="65">
        <f t="shared" si="41"/>
        <v>15812025600000</v>
      </c>
      <c r="J37" s="65">
        <f t="shared" si="41"/>
        <v>22136835840000</v>
      </c>
      <c r="K37" s="65">
        <f t="shared" si="41"/>
        <v>30991570176000.004</v>
      </c>
      <c r="L37" s="65">
        <f t="shared" si="41"/>
        <v>43388198246400</v>
      </c>
      <c r="M37" s="65">
        <f t="shared" si="41"/>
        <v>60743477544960.008</v>
      </c>
      <c r="N37" s="5"/>
    </row>
    <row r="38" spans="1:14" ht="15" customHeight="1" x14ac:dyDescent="0.45">
      <c r="A38" s="5"/>
      <c r="B38" s="127"/>
      <c r="C38" s="73" t="s">
        <v>14</v>
      </c>
      <c r="D38" s="66">
        <f>( ( D36 - $D$4 ) ) / D36</f>
        <v>0.2857142857142857</v>
      </c>
      <c r="E38" s="66">
        <f t="shared" ref="E38:M38" si="42">( ( E36 - $D$4 ) ) / E36</f>
        <v>0.48979591836734693</v>
      </c>
      <c r="F38" s="66">
        <f t="shared" ref="F38" si="43">( ( F36 - $D$4 ) ) / F36</f>
        <v>0.63556851311953355</v>
      </c>
      <c r="G38" s="66">
        <f t="shared" si="42"/>
        <v>0.73969179508538108</v>
      </c>
      <c r="H38" s="67">
        <f t="shared" si="42"/>
        <v>0.81406556791812934</v>
      </c>
      <c r="I38" s="66">
        <f t="shared" si="42"/>
        <v>0.86718969137009239</v>
      </c>
      <c r="J38" s="66">
        <f t="shared" si="42"/>
        <v>0.90513549383578029</v>
      </c>
      <c r="K38" s="66">
        <f t="shared" si="42"/>
        <v>0.93223963845412883</v>
      </c>
      <c r="L38" s="66">
        <f t="shared" si="42"/>
        <v>0.95159974175294915</v>
      </c>
      <c r="M38" s="66">
        <f t="shared" si="42"/>
        <v>0.96542838696639222</v>
      </c>
      <c r="N38" s="5"/>
    </row>
    <row r="39" spans="1:14" ht="15" customHeight="1" x14ac:dyDescent="0.45">
      <c r="A39" s="5"/>
      <c r="B39" s="127"/>
      <c r="C39" s="73" t="s">
        <v>13</v>
      </c>
      <c r="D39" s="66">
        <f>1-D38</f>
        <v>0.7142857142857143</v>
      </c>
      <c r="E39" s="66">
        <f t="shared" ref="E39:M39" si="44">1-E38</f>
        <v>0.51020408163265307</v>
      </c>
      <c r="F39" s="66">
        <f t="shared" ref="F39" si="45">1-F38</f>
        <v>0.36443148688046645</v>
      </c>
      <c r="G39" s="66">
        <f t="shared" si="44"/>
        <v>0.26030820491461892</v>
      </c>
      <c r="H39" s="67">
        <f t="shared" si="44"/>
        <v>0.18593443208187066</v>
      </c>
      <c r="I39" s="66">
        <f t="shared" si="44"/>
        <v>0.13281030862990761</v>
      </c>
      <c r="J39" s="66">
        <f t="shared" si="44"/>
        <v>9.4864506164219708E-2</v>
      </c>
      <c r="K39" s="66">
        <f t="shared" si="44"/>
        <v>6.7760361545871173E-2</v>
      </c>
      <c r="L39" s="66">
        <f t="shared" si="44"/>
        <v>4.8400258247050854E-2</v>
      </c>
      <c r="M39" s="66">
        <f t="shared" si="44"/>
        <v>3.4571613033607784E-2</v>
      </c>
      <c r="N39" s="5"/>
    </row>
    <row r="40" spans="1:14" ht="15" customHeight="1" x14ac:dyDescent="0.45">
      <c r="A40" s="5"/>
      <c r="B40" s="127"/>
      <c r="C40" s="71" t="s">
        <v>15</v>
      </c>
      <c r="D40" s="68">
        <f>D38</f>
        <v>0.2857142857142857</v>
      </c>
      <c r="E40" s="69">
        <f>E38-D38</f>
        <v>0.20408163265306123</v>
      </c>
      <c r="F40" s="69">
        <f>F38-E38</f>
        <v>0.14577259475218662</v>
      </c>
      <c r="G40" s="69">
        <f t="shared" ref="G40" si="46">G38-F38</f>
        <v>0.10412328196584753</v>
      </c>
      <c r="H40" s="69">
        <f t="shared" ref="H40" si="47">H38-G38</f>
        <v>7.4373772832748264E-2</v>
      </c>
      <c r="I40" s="69">
        <f t="shared" ref="I40" si="48">I38-H38</f>
        <v>5.3124123451963046E-2</v>
      </c>
      <c r="J40" s="69">
        <f t="shared" ref="J40" si="49">J38-I38</f>
        <v>3.7945802465687906E-2</v>
      </c>
      <c r="K40" s="69">
        <f t="shared" ref="K40" si="50">K38-J38</f>
        <v>2.7104144618348536E-2</v>
      </c>
      <c r="L40" s="69">
        <f t="shared" ref="L40" si="51">L38-K38</f>
        <v>1.9360103298820319E-2</v>
      </c>
      <c r="M40" s="69">
        <f t="shared" ref="M40" si="52">M38-L38</f>
        <v>1.3828645213443069E-2</v>
      </c>
      <c r="N40" s="5"/>
    </row>
    <row r="41" spans="1:14" ht="15" customHeight="1" x14ac:dyDescent="0.45">
      <c r="A41" s="5"/>
      <c r="B41" s="128"/>
      <c r="C41" s="71" t="s">
        <v>31</v>
      </c>
      <c r="D41" s="68"/>
      <c r="E41" s="69"/>
      <c r="F41" s="69"/>
      <c r="G41" s="69"/>
      <c r="H41" s="69">
        <f>SUM(D40:H40)/5</f>
        <v>0.16281311358362588</v>
      </c>
      <c r="I41" s="70"/>
      <c r="J41" s="70"/>
      <c r="K41" s="70"/>
      <c r="L41" s="70"/>
      <c r="M41" s="69">
        <f>SUM(D40:M40)/10</f>
        <v>9.6542838696639224E-2</v>
      </c>
      <c r="N41" s="5"/>
    </row>
    <row r="42" spans="1:14" ht="15" customHeight="1" x14ac:dyDescent="0.4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9"/>
    </row>
  </sheetData>
  <mergeCells count="18">
    <mergeCell ref="J10:J11"/>
    <mergeCell ref="K10:K11"/>
    <mergeCell ref="L10:L11"/>
    <mergeCell ref="M10:M11"/>
    <mergeCell ref="C2:D3"/>
    <mergeCell ref="F2:I3"/>
    <mergeCell ref="H10:H11"/>
    <mergeCell ref="I10:I11"/>
    <mergeCell ref="D10:D11"/>
    <mergeCell ref="E10:E11"/>
    <mergeCell ref="F10:F11"/>
    <mergeCell ref="G10:G11"/>
    <mergeCell ref="B2:B8"/>
    <mergeCell ref="B36:B41"/>
    <mergeCell ref="B18:B23"/>
    <mergeCell ref="B24:B29"/>
    <mergeCell ref="B30:B35"/>
    <mergeCell ref="B12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Estimate Calculator</vt:lpstr>
      <vt:lpstr>10 Year Burndown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2025-10-16T19:40:26Z</dcterms:modified>
</cp:coreProperties>
</file>