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0eb409204932c1c/Lightning Bank Case Study/"/>
    </mc:Choice>
  </mc:AlternateContent>
  <xr:revisionPtr revIDLastSave="5522" documentId="13_ncr:1_{AE93A452-22DF-478B-8AAE-1A3A6016AB56}" xr6:coauthVersionLast="47" xr6:coauthVersionMax="47" xr10:uidLastSave="{7C8409D3-3624-490E-9E83-8DE3D8B7E4D5}"/>
  <bookViews>
    <workbookView xWindow="-83" yWindow="0" windowWidth="14566" windowHeight="15563" xr2:uid="{10396A79-A4B2-467C-A467-ECE59C587EB2}"/>
  </bookViews>
  <sheets>
    <sheet name="Yield Estimate Calculator" sheetId="15" r:id="rId1"/>
    <sheet name="10 Year Burndown" sheetId="13" r:id="rId2"/>
    <sheet name="Sheet1" sheetId="1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4" l="1"/>
  <c r="E5" i="14"/>
  <c r="E3" i="14"/>
  <c r="D109" i="15"/>
  <c r="D65" i="15"/>
  <c r="D21" i="15"/>
  <c r="N18" i="15"/>
  <c r="N123" i="15" s="1"/>
  <c r="N172" i="15" s="1"/>
  <c r="M18" i="15"/>
  <c r="M79" i="15" s="1"/>
  <c r="L18" i="15"/>
  <c r="L79" i="15" s="1"/>
  <c r="K18" i="15"/>
  <c r="J18" i="15"/>
  <c r="J123" i="15" s="1"/>
  <c r="J172" i="15" s="1"/>
  <c r="I18" i="15"/>
  <c r="I79" i="15" s="1"/>
  <c r="H18" i="15"/>
  <c r="H79" i="15" s="1"/>
  <c r="G18" i="15"/>
  <c r="F18" i="15"/>
  <c r="E18" i="15"/>
  <c r="E123" i="15" s="1"/>
  <c r="E169" i="15" s="1"/>
  <c r="E12" i="15"/>
  <c r="C9" i="15"/>
  <c r="N9" i="15"/>
  <c r="J169" i="15" l="1"/>
  <c r="N169" i="15"/>
  <c r="N175" i="15"/>
  <c r="J175" i="15"/>
  <c r="E172" i="15"/>
  <c r="E166" i="15"/>
  <c r="E175" i="15"/>
  <c r="N166" i="15"/>
  <c r="J166" i="15"/>
  <c r="K123" i="15"/>
  <c r="G123" i="15"/>
  <c r="L123" i="15"/>
  <c r="H123" i="15"/>
  <c r="F123" i="15"/>
  <c r="M123" i="15"/>
  <c r="I123" i="15"/>
  <c r="E125" i="15"/>
  <c r="E129" i="15" s="1"/>
  <c r="E131" i="15" s="1"/>
  <c r="E127" i="15"/>
  <c r="J35" i="15"/>
  <c r="J37" i="15" s="1"/>
  <c r="J125" i="15"/>
  <c r="N79" i="15"/>
  <c r="N81" i="15" s="1"/>
  <c r="N125" i="15"/>
  <c r="M125" i="15"/>
  <c r="E79" i="15"/>
  <c r="E81" i="15" s="1"/>
  <c r="E85" i="15" s="1"/>
  <c r="E87" i="15" s="1"/>
  <c r="K79" i="15"/>
  <c r="K81" i="15" s="1"/>
  <c r="G79" i="15"/>
  <c r="G81" i="15" s="1"/>
  <c r="J79" i="15"/>
  <c r="J81" i="15" s="1"/>
  <c r="F79" i="15"/>
  <c r="F81" i="15" s="1"/>
  <c r="F12" i="15"/>
  <c r="H81" i="15"/>
  <c r="L81" i="15"/>
  <c r="I35" i="15"/>
  <c r="I37" i="15" s="1"/>
  <c r="I81" i="15"/>
  <c r="M81" i="15"/>
  <c r="H35" i="15"/>
  <c r="H37" i="15" s="1"/>
  <c r="E13" i="15"/>
  <c r="K35" i="15"/>
  <c r="K37" i="15" s="1"/>
  <c r="L35" i="15"/>
  <c r="L37" i="15" s="1"/>
  <c r="E19" i="15"/>
  <c r="E124" i="15" s="1"/>
  <c r="E35" i="15"/>
  <c r="M35" i="15"/>
  <c r="M37" i="15" s="1"/>
  <c r="E14" i="15"/>
  <c r="E112" i="15" s="1"/>
  <c r="F35" i="15"/>
  <c r="F37" i="15" s="1"/>
  <c r="N35" i="15"/>
  <c r="N37" i="15" s="1"/>
  <c r="G35" i="15"/>
  <c r="G37" i="15" s="1"/>
  <c r="H125" i="15" l="1"/>
  <c r="H175" i="15"/>
  <c r="H169" i="15"/>
  <c r="H166" i="15"/>
  <c r="H172" i="15"/>
  <c r="I125" i="15"/>
  <c r="I175" i="15"/>
  <c r="I169" i="15"/>
  <c r="I172" i="15"/>
  <c r="I166" i="15"/>
  <c r="L125" i="15"/>
  <c r="L175" i="15"/>
  <c r="L169" i="15"/>
  <c r="L172" i="15"/>
  <c r="L166" i="15"/>
  <c r="E177" i="15"/>
  <c r="E171" i="15"/>
  <c r="E168" i="15"/>
  <c r="E174" i="15"/>
  <c r="M175" i="15"/>
  <c r="M169" i="15"/>
  <c r="M166" i="15"/>
  <c r="M172" i="15"/>
  <c r="G125" i="15"/>
  <c r="G172" i="15"/>
  <c r="G166" i="15"/>
  <c r="G175" i="15"/>
  <c r="G169" i="15"/>
  <c r="F125" i="15"/>
  <c r="F129" i="15" s="1"/>
  <c r="F131" i="15" s="1"/>
  <c r="F172" i="15"/>
  <c r="F166" i="15"/>
  <c r="F175" i="15"/>
  <c r="I176" i="15" s="1"/>
  <c r="F169" i="15"/>
  <c r="K125" i="15"/>
  <c r="K172" i="15"/>
  <c r="K166" i="15"/>
  <c r="K175" i="15"/>
  <c r="K169" i="15"/>
  <c r="E68" i="15"/>
  <c r="E70" i="15" s="1"/>
  <c r="E78" i="15" s="1"/>
  <c r="E76" i="15" s="1"/>
  <c r="E80" i="15"/>
  <c r="E88" i="15" s="1"/>
  <c r="F83" i="15"/>
  <c r="F127" i="15"/>
  <c r="F41" i="15"/>
  <c r="F13" i="15"/>
  <c r="E83" i="15"/>
  <c r="F14" i="15"/>
  <c r="F112" i="15" s="1"/>
  <c r="G12" i="15"/>
  <c r="G39" i="15" s="1"/>
  <c r="E82" i="15"/>
  <c r="E92" i="15" s="1"/>
  <c r="E90" i="15" s="1"/>
  <c r="F85" i="15"/>
  <c r="F87" i="15" s="1"/>
  <c r="F19" i="15"/>
  <c r="F124" i="15" s="1"/>
  <c r="E36" i="15"/>
  <c r="E39" i="15"/>
  <c r="E37" i="15"/>
  <c r="E41" i="15" s="1"/>
  <c r="E24" i="15"/>
  <c r="E16" i="15"/>
  <c r="E110" i="15" s="1"/>
  <c r="E15" i="15"/>
  <c r="F39" i="15"/>
  <c r="C38" i="13"/>
  <c r="D38" i="13" s="1"/>
  <c r="E38" i="13" s="1"/>
  <c r="F38" i="13" s="1"/>
  <c r="G38" i="13" s="1"/>
  <c r="H38" i="13" s="1"/>
  <c r="I38" i="13" s="1"/>
  <c r="J38" i="13" s="1"/>
  <c r="K38" i="13" s="1"/>
  <c r="L38" i="13" s="1"/>
  <c r="C31" i="13"/>
  <c r="D31" i="13" s="1"/>
  <c r="E31" i="13" s="1"/>
  <c r="F31" i="13" s="1"/>
  <c r="G31" i="13" s="1"/>
  <c r="H31" i="13" s="1"/>
  <c r="I31" i="13" s="1"/>
  <c r="J31" i="13" s="1"/>
  <c r="K31" i="13" s="1"/>
  <c r="L31" i="13" s="1"/>
  <c r="C24" i="13"/>
  <c r="D24" i="13" s="1"/>
  <c r="E24" i="13" s="1"/>
  <c r="F24" i="13" s="1"/>
  <c r="G24" i="13" s="1"/>
  <c r="H24" i="13" s="1"/>
  <c r="I24" i="13" s="1"/>
  <c r="J24" i="13" s="1"/>
  <c r="K24" i="13" s="1"/>
  <c r="L24" i="13" s="1"/>
  <c r="C17" i="13"/>
  <c r="D17" i="13" s="1"/>
  <c r="E17" i="13" s="1"/>
  <c r="F17" i="13" s="1"/>
  <c r="G17" i="13" s="1"/>
  <c r="H17" i="13" s="1"/>
  <c r="I17" i="13" s="1"/>
  <c r="J17" i="13" s="1"/>
  <c r="K17" i="13" s="1"/>
  <c r="L17" i="13" s="1"/>
  <c r="C10" i="13"/>
  <c r="D10" i="13" s="1"/>
  <c r="E10" i="13" s="1"/>
  <c r="F10" i="13" s="1"/>
  <c r="G10" i="13" s="1"/>
  <c r="H10" i="13" s="1"/>
  <c r="I10" i="13" s="1"/>
  <c r="J10" i="13" s="1"/>
  <c r="K10" i="13" s="1"/>
  <c r="L10" i="13" s="1"/>
  <c r="G85" i="15" l="1"/>
  <c r="G87" i="15" s="1"/>
  <c r="N167" i="15"/>
  <c r="N170" i="15"/>
  <c r="I173" i="15"/>
  <c r="I167" i="15"/>
  <c r="N176" i="15"/>
  <c r="F177" i="15"/>
  <c r="F171" i="15"/>
  <c r="F174" i="15"/>
  <c r="F168" i="15"/>
  <c r="I170" i="15"/>
  <c r="N173" i="15"/>
  <c r="E95" i="15"/>
  <c r="E97" i="15" s="1"/>
  <c r="E107" i="15" s="1"/>
  <c r="E105" i="15" s="1"/>
  <c r="F16" i="15"/>
  <c r="F110" i="15" s="1"/>
  <c r="E74" i="15"/>
  <c r="E103" i="15" s="1"/>
  <c r="F15" i="15"/>
  <c r="E66" i="15"/>
  <c r="F68" i="15"/>
  <c r="F70" i="15" s="1"/>
  <c r="F78" i="15" s="1"/>
  <c r="F76" i="15" s="1"/>
  <c r="E139" i="15"/>
  <c r="E141" i="15" s="1"/>
  <c r="E151" i="15" s="1"/>
  <c r="E149" i="15" s="1"/>
  <c r="E114" i="15"/>
  <c r="E118" i="15"/>
  <c r="F66" i="15"/>
  <c r="G83" i="15"/>
  <c r="G127" i="15"/>
  <c r="G129" i="15"/>
  <c r="G131" i="15" s="1"/>
  <c r="F80" i="15"/>
  <c r="F82" i="15" s="1"/>
  <c r="F92" i="15" s="1"/>
  <c r="F90" i="15" s="1"/>
  <c r="E126" i="15"/>
  <c r="E136" i="15" s="1"/>
  <c r="E134" i="15" s="1"/>
  <c r="E132" i="15"/>
  <c r="F24" i="15"/>
  <c r="F26" i="15" s="1"/>
  <c r="F34" i="15" s="1"/>
  <c r="G13" i="15"/>
  <c r="H12" i="15"/>
  <c r="H39" i="15" s="1"/>
  <c r="G41" i="15"/>
  <c r="G14" i="15"/>
  <c r="G112" i="15" s="1"/>
  <c r="E51" i="15"/>
  <c r="E53" i="15" s="1"/>
  <c r="E63" i="15" s="1"/>
  <c r="E61" i="15" s="1"/>
  <c r="E22" i="15"/>
  <c r="E49" i="15" s="1"/>
  <c r="E52" i="15" s="1"/>
  <c r="E56" i="15" s="1"/>
  <c r="E43" i="15"/>
  <c r="F43" i="15" s="1"/>
  <c r="F36" i="15"/>
  <c r="G19" i="15"/>
  <c r="G124" i="15" s="1"/>
  <c r="E26" i="15"/>
  <c r="E34" i="15" s="1"/>
  <c r="E32" i="15" s="1"/>
  <c r="E30" i="15"/>
  <c r="E59" i="15" s="1"/>
  <c r="E44" i="15"/>
  <c r="E38" i="15"/>
  <c r="E48" i="15" s="1"/>
  <c r="E46" i="15" s="1"/>
  <c r="C32" i="13"/>
  <c r="D39" i="13"/>
  <c r="D40" i="13"/>
  <c r="C39" i="13"/>
  <c r="C40" i="13"/>
  <c r="C33" i="13"/>
  <c r="D25" i="13"/>
  <c r="D26" i="13"/>
  <c r="C26" i="13"/>
  <c r="C25" i="13"/>
  <c r="D18" i="13"/>
  <c r="D19" i="13"/>
  <c r="C19" i="13"/>
  <c r="C18" i="13"/>
  <c r="C12" i="13"/>
  <c r="C14" i="13" s="1"/>
  <c r="C13" i="13"/>
  <c r="C11" i="13"/>
  <c r="F93" i="15" l="1"/>
  <c r="F96" i="15" s="1"/>
  <c r="F100" i="15" s="1"/>
  <c r="E71" i="15"/>
  <c r="E98" i="15" s="1"/>
  <c r="E93" i="15"/>
  <c r="E122" i="15"/>
  <c r="E120" i="15" s="1"/>
  <c r="E159" i="15"/>
  <c r="E183" i="15" s="1"/>
  <c r="E165" i="15"/>
  <c r="E189" i="15" s="1"/>
  <c r="E156" i="15"/>
  <c r="E180" i="15" s="1"/>
  <c r="E162" i="15"/>
  <c r="E186" i="15" s="1"/>
  <c r="G174" i="15"/>
  <c r="G168" i="15"/>
  <c r="G177" i="15"/>
  <c r="G171" i="15"/>
  <c r="F22" i="15"/>
  <c r="F49" i="15" s="1"/>
  <c r="F52" i="15" s="1"/>
  <c r="F56" i="15" s="1"/>
  <c r="H85" i="15"/>
  <c r="H87" i="15" s="1"/>
  <c r="E96" i="15"/>
  <c r="E100" i="15" s="1"/>
  <c r="F51" i="15"/>
  <c r="F53" i="15" s="1"/>
  <c r="F63" i="15" s="1"/>
  <c r="F61" i="15" s="1"/>
  <c r="F69" i="15"/>
  <c r="F72" i="15" s="1"/>
  <c r="I12" i="15"/>
  <c r="I85" i="15" s="1"/>
  <c r="E69" i="15"/>
  <c r="E72" i="15" s="1"/>
  <c r="E73" i="15" s="1"/>
  <c r="F71" i="15"/>
  <c r="F98" i="15" s="1"/>
  <c r="F88" i="15"/>
  <c r="G24" i="15"/>
  <c r="G26" i="15" s="1"/>
  <c r="G34" i="15" s="1"/>
  <c r="G32" i="15" s="1"/>
  <c r="F95" i="15"/>
  <c r="F97" i="15" s="1"/>
  <c r="F107" i="15" s="1"/>
  <c r="F105" i="15" s="1"/>
  <c r="H83" i="15"/>
  <c r="H127" i="15"/>
  <c r="H129" i="15"/>
  <c r="H131" i="15" s="1"/>
  <c r="F132" i="15"/>
  <c r="F126" i="15"/>
  <c r="F136" i="15" s="1"/>
  <c r="F134" i="15" s="1"/>
  <c r="F74" i="15"/>
  <c r="G68" i="15"/>
  <c r="F137" i="15"/>
  <c r="F140" i="15" s="1"/>
  <c r="F144" i="15" s="1"/>
  <c r="F115" i="15"/>
  <c r="F142" i="15" s="1"/>
  <c r="F113" i="15"/>
  <c r="E137" i="15"/>
  <c r="E115" i="15"/>
  <c r="E142" i="15" s="1"/>
  <c r="E113" i="15"/>
  <c r="G80" i="15"/>
  <c r="F139" i="15"/>
  <c r="F141" i="15" s="1"/>
  <c r="F151" i="15" s="1"/>
  <c r="F149" i="15" s="1"/>
  <c r="F118" i="15"/>
  <c r="F114" i="15"/>
  <c r="E147" i="15"/>
  <c r="G15" i="15"/>
  <c r="G16" i="15"/>
  <c r="G110" i="15" s="1"/>
  <c r="G43" i="15"/>
  <c r="H41" i="15"/>
  <c r="H13" i="15"/>
  <c r="H14" i="15"/>
  <c r="H112" i="15" s="1"/>
  <c r="F30" i="15"/>
  <c r="E58" i="15"/>
  <c r="F44" i="15"/>
  <c r="F38" i="15"/>
  <c r="F48" i="15" s="1"/>
  <c r="F46" i="15" s="1"/>
  <c r="F32" i="15"/>
  <c r="F25" i="15"/>
  <c r="F28" i="15" s="1"/>
  <c r="E25" i="15"/>
  <c r="E28" i="15" s="1"/>
  <c r="E29" i="15" s="1"/>
  <c r="E27" i="15"/>
  <c r="E54" i="15" s="1"/>
  <c r="G36" i="15"/>
  <c r="H19" i="15"/>
  <c r="H124" i="15" s="1"/>
  <c r="D41" i="13"/>
  <c r="D42" i="13"/>
  <c r="E40" i="13"/>
  <c r="E39" i="13"/>
  <c r="C42" i="13"/>
  <c r="C41" i="13"/>
  <c r="D32" i="13"/>
  <c r="D33" i="13"/>
  <c r="C34" i="13"/>
  <c r="C35" i="13"/>
  <c r="C28" i="13"/>
  <c r="C27" i="13"/>
  <c r="D27" i="13"/>
  <c r="D28" i="13"/>
  <c r="E25" i="13"/>
  <c r="E26" i="13"/>
  <c r="C21" i="13"/>
  <c r="C20" i="13"/>
  <c r="E19" i="13"/>
  <c r="E18" i="13"/>
  <c r="D20" i="13"/>
  <c r="D21" i="13"/>
  <c r="D11" i="13"/>
  <c r="D12" i="13"/>
  <c r="F73" i="15" l="1"/>
  <c r="H174" i="15"/>
  <c r="H168" i="15"/>
  <c r="H177" i="15"/>
  <c r="H171" i="15"/>
  <c r="F116" i="15"/>
  <c r="F160" i="15"/>
  <c r="F154" i="15"/>
  <c r="F178" i="15" s="1"/>
  <c r="F163" i="15"/>
  <c r="F187" i="15" s="1"/>
  <c r="F157" i="15"/>
  <c r="F27" i="15"/>
  <c r="F54" i="15" s="1"/>
  <c r="F58" i="15"/>
  <c r="F122" i="15"/>
  <c r="F120" i="15" s="1"/>
  <c r="F159" i="15"/>
  <c r="F183" i="15" s="1"/>
  <c r="F165" i="15"/>
  <c r="F189" i="15" s="1"/>
  <c r="F156" i="15"/>
  <c r="F180" i="15" s="1"/>
  <c r="F162" i="15"/>
  <c r="F186" i="15" s="1"/>
  <c r="E116" i="15"/>
  <c r="E117" i="15" s="1"/>
  <c r="F117" i="15" s="1"/>
  <c r="E154" i="15"/>
  <c r="E157" i="15"/>
  <c r="E160" i="15"/>
  <c r="E184" i="15" s="1"/>
  <c r="E163" i="15"/>
  <c r="I13" i="15"/>
  <c r="I39" i="15"/>
  <c r="I40" i="15" s="1"/>
  <c r="H43" i="15"/>
  <c r="G95" i="15"/>
  <c r="G97" i="15" s="1"/>
  <c r="G107" i="15" s="1"/>
  <c r="G105" i="15" s="1"/>
  <c r="G82" i="15"/>
  <c r="G92" i="15" s="1"/>
  <c r="G90" i="15" s="1"/>
  <c r="G88" i="15"/>
  <c r="I83" i="15"/>
  <c r="I84" i="15" s="1"/>
  <c r="F103" i="15"/>
  <c r="I14" i="15"/>
  <c r="I112" i="15" s="1"/>
  <c r="I129" i="15"/>
  <c r="I130" i="15" s="1"/>
  <c r="G51" i="15"/>
  <c r="G53" i="15" s="1"/>
  <c r="G63" i="15" s="1"/>
  <c r="G61" i="15" s="1"/>
  <c r="G22" i="15"/>
  <c r="G49" i="15" s="1"/>
  <c r="G52" i="15" s="1"/>
  <c r="G56" i="15" s="1"/>
  <c r="I127" i="15"/>
  <c r="I128" i="15" s="1"/>
  <c r="I41" i="15"/>
  <c r="I42" i="15" s="1"/>
  <c r="J12" i="15"/>
  <c r="J127" i="15" s="1"/>
  <c r="F147" i="15"/>
  <c r="H68" i="15"/>
  <c r="H70" i="15" s="1"/>
  <c r="H78" i="15" s="1"/>
  <c r="G70" i="15"/>
  <c r="G78" i="15" s="1"/>
  <c r="G76" i="15" s="1"/>
  <c r="G74" i="15"/>
  <c r="G132" i="15"/>
  <c r="G126" i="15"/>
  <c r="G136" i="15" s="1"/>
  <c r="G134" i="15" s="1"/>
  <c r="H80" i="15"/>
  <c r="H88" i="15" s="1"/>
  <c r="G66" i="15"/>
  <c r="G93" i="15" s="1"/>
  <c r="E140" i="15"/>
  <c r="E144" i="15" s="1"/>
  <c r="I68" i="15"/>
  <c r="G118" i="15"/>
  <c r="G114" i="15"/>
  <c r="G139" i="15"/>
  <c r="G141" i="15" s="1"/>
  <c r="G151" i="15" s="1"/>
  <c r="G149" i="15" s="1"/>
  <c r="H15" i="15"/>
  <c r="H16" i="15"/>
  <c r="H110" i="15" s="1"/>
  <c r="H24" i="15"/>
  <c r="I86" i="15"/>
  <c r="I87" i="15"/>
  <c r="E102" i="15"/>
  <c r="F102" i="15" s="1"/>
  <c r="F59" i="15"/>
  <c r="G30" i="15"/>
  <c r="F29" i="15"/>
  <c r="G44" i="15"/>
  <c r="G38" i="15"/>
  <c r="G48" i="15" s="1"/>
  <c r="G46" i="15" s="1"/>
  <c r="G27" i="15"/>
  <c r="G54" i="15" s="1"/>
  <c r="H36" i="15"/>
  <c r="I19" i="15"/>
  <c r="I124" i="15" s="1"/>
  <c r="E41" i="13"/>
  <c r="E42" i="13"/>
  <c r="F40" i="13"/>
  <c r="F39" i="13"/>
  <c r="D34" i="13"/>
  <c r="D35" i="13"/>
  <c r="E33" i="13"/>
  <c r="E32" i="13"/>
  <c r="E28" i="13"/>
  <c r="E27" i="13"/>
  <c r="F26" i="13"/>
  <c r="F25" i="13"/>
  <c r="E20" i="13"/>
  <c r="E21" i="13"/>
  <c r="F19" i="13"/>
  <c r="F18" i="13"/>
  <c r="D13" i="13"/>
  <c r="D14" i="13"/>
  <c r="E12" i="13"/>
  <c r="E11" i="13"/>
  <c r="E181" i="15" l="1"/>
  <c r="E178" i="15"/>
  <c r="F184" i="15"/>
  <c r="I177" i="15"/>
  <c r="I171" i="15"/>
  <c r="I174" i="15"/>
  <c r="I168" i="15"/>
  <c r="G122" i="15"/>
  <c r="G120" i="15" s="1"/>
  <c r="G159" i="15"/>
  <c r="G183" i="15" s="1"/>
  <c r="G165" i="15"/>
  <c r="G189" i="15" s="1"/>
  <c r="G162" i="15"/>
  <c r="G186" i="15" s="1"/>
  <c r="G156" i="15"/>
  <c r="G180" i="15" s="1"/>
  <c r="G58" i="15"/>
  <c r="E187" i="15"/>
  <c r="F181" i="15"/>
  <c r="G25" i="15"/>
  <c r="G28" i="15" s="1"/>
  <c r="G29" i="15" s="1"/>
  <c r="I43" i="15"/>
  <c r="I15" i="15"/>
  <c r="G103" i="15"/>
  <c r="J39" i="15"/>
  <c r="H95" i="15"/>
  <c r="H97" i="15" s="1"/>
  <c r="H107" i="15" s="1"/>
  <c r="H105" i="15" s="1"/>
  <c r="H82" i="15"/>
  <c r="H92" i="15" s="1"/>
  <c r="H90" i="15" s="1"/>
  <c r="H76" i="15"/>
  <c r="I24" i="15"/>
  <c r="I26" i="15" s="1"/>
  <c r="I34" i="15" s="1"/>
  <c r="K12" i="15"/>
  <c r="K83" i="15" s="1"/>
  <c r="H22" i="15"/>
  <c r="H49" i="15" s="1"/>
  <c r="H52" i="15" s="1"/>
  <c r="H56" i="15" s="1"/>
  <c r="I16" i="15"/>
  <c r="I110" i="15" s="1"/>
  <c r="I111" i="15" s="1"/>
  <c r="J13" i="15"/>
  <c r="J14" i="15"/>
  <c r="J112" i="15" s="1"/>
  <c r="J85" i="15"/>
  <c r="J87" i="15" s="1"/>
  <c r="J129" i="15"/>
  <c r="H74" i="15"/>
  <c r="H103" i="15" s="1"/>
  <c r="I131" i="15"/>
  <c r="J41" i="15"/>
  <c r="J83" i="15"/>
  <c r="I139" i="15"/>
  <c r="I141" i="15" s="1"/>
  <c r="I151" i="15" s="1"/>
  <c r="I114" i="15"/>
  <c r="G69" i="15"/>
  <c r="G72" i="15" s="1"/>
  <c r="G73" i="15" s="1"/>
  <c r="G71" i="15"/>
  <c r="G98" i="15" s="1"/>
  <c r="G96" i="15"/>
  <c r="G100" i="15" s="1"/>
  <c r="G102" i="15" s="1"/>
  <c r="H132" i="15"/>
  <c r="H126" i="15"/>
  <c r="H136" i="15" s="1"/>
  <c r="H134" i="15" s="1"/>
  <c r="I70" i="15"/>
  <c r="I78" i="15" s="1"/>
  <c r="I76" i="15" s="1"/>
  <c r="E146" i="15"/>
  <c r="F146" i="15" s="1"/>
  <c r="I126" i="15"/>
  <c r="I136" i="15" s="1"/>
  <c r="H66" i="15"/>
  <c r="H93" i="15" s="1"/>
  <c r="G147" i="15"/>
  <c r="G115" i="15"/>
  <c r="G142" i="15" s="1"/>
  <c r="G137" i="15"/>
  <c r="G113" i="15"/>
  <c r="H118" i="15"/>
  <c r="H114" i="15"/>
  <c r="H139" i="15"/>
  <c r="H141" i="15" s="1"/>
  <c r="H151" i="15" s="1"/>
  <c r="H149" i="15" s="1"/>
  <c r="H30" i="15"/>
  <c r="H51" i="15"/>
  <c r="H53" i="15" s="1"/>
  <c r="H63" i="15" s="1"/>
  <c r="H61" i="15" s="1"/>
  <c r="H26" i="15"/>
  <c r="H34" i="15" s="1"/>
  <c r="H32" i="15" s="1"/>
  <c r="I80" i="15"/>
  <c r="I95" i="15" s="1"/>
  <c r="I97" i="15" s="1"/>
  <c r="I107" i="15" s="1"/>
  <c r="G59" i="15"/>
  <c r="H44" i="15"/>
  <c r="H38" i="15"/>
  <c r="H48" i="15" s="1"/>
  <c r="H46" i="15" s="1"/>
  <c r="K39" i="15"/>
  <c r="J19" i="15"/>
  <c r="J124" i="15" s="1"/>
  <c r="I36" i="15"/>
  <c r="F42" i="13"/>
  <c r="F41" i="13"/>
  <c r="G40" i="13"/>
  <c r="G39" i="13"/>
  <c r="E35" i="13"/>
  <c r="E34" i="13"/>
  <c r="F33" i="13"/>
  <c r="F32" i="13"/>
  <c r="F28" i="13"/>
  <c r="F27" i="13"/>
  <c r="G26" i="13"/>
  <c r="G25" i="13"/>
  <c r="F21" i="13"/>
  <c r="F20" i="13"/>
  <c r="G19" i="13"/>
  <c r="G18" i="13"/>
  <c r="F12" i="13"/>
  <c r="F11" i="13"/>
  <c r="E14" i="13"/>
  <c r="E13" i="13"/>
  <c r="J177" i="15" l="1"/>
  <c r="J171" i="15"/>
  <c r="J174" i="15"/>
  <c r="J168" i="15"/>
  <c r="G116" i="15"/>
  <c r="G117" i="15" s="1"/>
  <c r="G157" i="15"/>
  <c r="G163" i="15"/>
  <c r="G160" i="15"/>
  <c r="G154" i="15"/>
  <c r="I122" i="15"/>
  <c r="I156" i="15"/>
  <c r="I180" i="15" s="1"/>
  <c r="I162" i="15"/>
  <c r="I186" i="15" s="1"/>
  <c r="I159" i="15"/>
  <c r="I183" i="15" s="1"/>
  <c r="I165" i="15"/>
  <c r="I189" i="15" s="1"/>
  <c r="H58" i="15"/>
  <c r="H122" i="15"/>
  <c r="H120" i="15" s="1"/>
  <c r="H156" i="15"/>
  <c r="H180" i="15" s="1"/>
  <c r="H162" i="15"/>
  <c r="H186" i="15" s="1"/>
  <c r="H165" i="15"/>
  <c r="H189" i="15" s="1"/>
  <c r="H159" i="15"/>
  <c r="H183" i="15" s="1"/>
  <c r="I105" i="15"/>
  <c r="I106" i="15" s="1"/>
  <c r="H25" i="15"/>
  <c r="H28" i="15" s="1"/>
  <c r="H29" i="15" s="1"/>
  <c r="J16" i="15"/>
  <c r="J110" i="15" s="1"/>
  <c r="J43" i="15"/>
  <c r="I77" i="15"/>
  <c r="K127" i="15"/>
  <c r="K41" i="15"/>
  <c r="K13" i="15"/>
  <c r="K129" i="15"/>
  <c r="L12" i="15"/>
  <c r="M12" i="15" s="1"/>
  <c r="K85" i="15"/>
  <c r="K87" i="15" s="1"/>
  <c r="K14" i="15"/>
  <c r="K112" i="15" s="1"/>
  <c r="H27" i="15"/>
  <c r="H54" i="15" s="1"/>
  <c r="J24" i="15"/>
  <c r="J26" i="15" s="1"/>
  <c r="J34" i="15" s="1"/>
  <c r="J32" i="15" s="1"/>
  <c r="J68" i="15"/>
  <c r="J70" i="15" s="1"/>
  <c r="J78" i="15" s="1"/>
  <c r="J76" i="15" s="1"/>
  <c r="H59" i="15"/>
  <c r="I74" i="15"/>
  <c r="I30" i="15"/>
  <c r="I31" i="15" s="1"/>
  <c r="J15" i="15"/>
  <c r="I22" i="15"/>
  <c r="I49" i="15" s="1"/>
  <c r="I52" i="15" s="1"/>
  <c r="I56" i="15" s="1"/>
  <c r="I57" i="15" s="1"/>
  <c r="I66" i="15"/>
  <c r="I93" i="15" s="1"/>
  <c r="I17" i="15"/>
  <c r="I51" i="15"/>
  <c r="I53" i="15" s="1"/>
  <c r="I63" i="15" s="1"/>
  <c r="I61" i="15" s="1"/>
  <c r="I62" i="15" s="1"/>
  <c r="J131" i="15"/>
  <c r="I134" i="15"/>
  <c r="I135" i="15" s="1"/>
  <c r="H147" i="15"/>
  <c r="I88" i="15"/>
  <c r="G140" i="15"/>
  <c r="G144" i="15" s="1"/>
  <c r="I132" i="15"/>
  <c r="J132" i="15" s="1"/>
  <c r="J139" i="15"/>
  <c r="J141" i="15" s="1"/>
  <c r="J151" i="15" s="1"/>
  <c r="J149" i="15" s="1"/>
  <c r="J114" i="15"/>
  <c r="L127" i="15"/>
  <c r="H137" i="15"/>
  <c r="H140" i="15" s="1"/>
  <c r="H144" i="15" s="1"/>
  <c r="H115" i="15"/>
  <c r="H142" i="15" s="1"/>
  <c r="H113" i="15"/>
  <c r="I120" i="15"/>
  <c r="I121" i="15" s="1"/>
  <c r="J126" i="15"/>
  <c r="J136" i="15" s="1"/>
  <c r="J134" i="15" s="1"/>
  <c r="H96" i="15"/>
  <c r="H100" i="15" s="1"/>
  <c r="H102" i="15" s="1"/>
  <c r="H71" i="15"/>
  <c r="H98" i="15" s="1"/>
  <c r="H69" i="15"/>
  <c r="H72" i="15" s="1"/>
  <c r="H73" i="15" s="1"/>
  <c r="I137" i="15"/>
  <c r="I140" i="15" s="1"/>
  <c r="I144" i="15" s="1"/>
  <c r="I115" i="15"/>
  <c r="I142" i="15" s="1"/>
  <c r="I113" i="15"/>
  <c r="I118" i="15"/>
  <c r="I149" i="15"/>
  <c r="I150" i="15" s="1"/>
  <c r="I82" i="15"/>
  <c r="I92" i="15" s="1"/>
  <c r="I90" i="15" s="1"/>
  <c r="I91" i="15" s="1"/>
  <c r="I32" i="15"/>
  <c r="I33" i="15" s="1"/>
  <c r="J80" i="15"/>
  <c r="K19" i="15"/>
  <c r="K124" i="15" s="1"/>
  <c r="J36" i="15"/>
  <c r="I38" i="15"/>
  <c r="I48" i="15" s="1"/>
  <c r="I46" i="15" s="1"/>
  <c r="I44" i="15"/>
  <c r="I45" i="15" s="1"/>
  <c r="G41" i="13"/>
  <c r="G42" i="13"/>
  <c r="G43" i="13" s="1"/>
  <c r="H39" i="13"/>
  <c r="H40" i="13"/>
  <c r="F35" i="13"/>
  <c r="F34" i="13"/>
  <c r="G32" i="13"/>
  <c r="G33" i="13"/>
  <c r="G28" i="13"/>
  <c r="G27" i="13"/>
  <c r="H25" i="13"/>
  <c r="H26" i="13"/>
  <c r="G29" i="13"/>
  <c r="G21" i="13"/>
  <c r="G22" i="13" s="1"/>
  <c r="G20" i="13"/>
  <c r="H18" i="13"/>
  <c r="H19" i="13"/>
  <c r="F14" i="13"/>
  <c r="F13" i="13"/>
  <c r="G11" i="13"/>
  <c r="G12" i="13"/>
  <c r="K131" i="15" l="1"/>
  <c r="K24" i="15"/>
  <c r="K26" i="15" s="1"/>
  <c r="K34" i="15" s="1"/>
  <c r="K32" i="15" s="1"/>
  <c r="K68" i="15"/>
  <c r="K70" i="15" s="1"/>
  <c r="K78" i="15" s="1"/>
  <c r="K76" i="15" s="1"/>
  <c r="K16" i="15"/>
  <c r="K110" i="15" s="1"/>
  <c r="I58" i="15"/>
  <c r="G187" i="15"/>
  <c r="G184" i="15"/>
  <c r="K174" i="15"/>
  <c r="K168" i="15"/>
  <c r="K177" i="15"/>
  <c r="K171" i="15"/>
  <c r="J88" i="15"/>
  <c r="G181" i="15"/>
  <c r="H116" i="15"/>
  <c r="H117" i="15" s="1"/>
  <c r="H154" i="15"/>
  <c r="H157" i="15"/>
  <c r="H181" i="15" s="1"/>
  <c r="H163" i="15"/>
  <c r="H187" i="15" s="1"/>
  <c r="H160" i="15"/>
  <c r="J122" i="15"/>
  <c r="J120" i="15" s="1"/>
  <c r="J159" i="15"/>
  <c r="J183" i="15" s="1"/>
  <c r="J165" i="15"/>
  <c r="J189" i="15" s="1"/>
  <c r="J162" i="15"/>
  <c r="J186" i="15" s="1"/>
  <c r="J156" i="15"/>
  <c r="J180" i="15" s="1"/>
  <c r="I116" i="15"/>
  <c r="I117" i="15" s="1"/>
  <c r="I160" i="15"/>
  <c r="I184" i="15" s="1"/>
  <c r="I154" i="15"/>
  <c r="I178" i="15" s="1"/>
  <c r="I163" i="15"/>
  <c r="I187" i="15" s="1"/>
  <c r="I157" i="15"/>
  <c r="I181" i="15" s="1"/>
  <c r="G178" i="15"/>
  <c r="L41" i="15"/>
  <c r="J66" i="15"/>
  <c r="J93" i="15" s="1"/>
  <c r="J96" i="15" s="1"/>
  <c r="J100" i="15" s="1"/>
  <c r="L129" i="15"/>
  <c r="L14" i="15"/>
  <c r="L112" i="15" s="1"/>
  <c r="K43" i="15"/>
  <c r="L43" i="15" s="1"/>
  <c r="K15" i="15"/>
  <c r="I25" i="15"/>
  <c r="I28" i="15" s="1"/>
  <c r="I29" i="15" s="1"/>
  <c r="I50" i="15"/>
  <c r="J22" i="15"/>
  <c r="J49" i="15" s="1"/>
  <c r="J52" i="15" s="1"/>
  <c r="J56" i="15" s="1"/>
  <c r="L13" i="15"/>
  <c r="L85" i="15"/>
  <c r="L87" i="15" s="1"/>
  <c r="L39" i="15"/>
  <c r="L83" i="15"/>
  <c r="I103" i="15"/>
  <c r="I104" i="15" s="1"/>
  <c r="J30" i="15"/>
  <c r="K30" i="15" s="1"/>
  <c r="J74" i="15"/>
  <c r="I75" i="15"/>
  <c r="J51" i="15"/>
  <c r="J53" i="15" s="1"/>
  <c r="J63" i="15" s="1"/>
  <c r="J61" i="15" s="1"/>
  <c r="I89" i="15"/>
  <c r="I71" i="15"/>
  <c r="I98" i="15" s="1"/>
  <c r="I99" i="15" s="1"/>
  <c r="I69" i="15"/>
  <c r="I72" i="15" s="1"/>
  <c r="I73" i="15" s="1"/>
  <c r="I96" i="15"/>
  <c r="I100" i="15" s="1"/>
  <c r="I101" i="15" s="1"/>
  <c r="I67" i="15"/>
  <c r="I23" i="15"/>
  <c r="I27" i="15"/>
  <c r="I54" i="15" s="1"/>
  <c r="I55" i="15" s="1"/>
  <c r="I147" i="15"/>
  <c r="I148" i="15" s="1"/>
  <c r="I119" i="15"/>
  <c r="I143" i="15"/>
  <c r="J118" i="15"/>
  <c r="K118" i="15" s="1"/>
  <c r="I138" i="15"/>
  <c r="J137" i="15"/>
  <c r="J140" i="15" s="1"/>
  <c r="J144" i="15" s="1"/>
  <c r="J115" i="15"/>
  <c r="J142" i="15" s="1"/>
  <c r="J113" i="15"/>
  <c r="I145" i="15"/>
  <c r="K66" i="15"/>
  <c r="K93" i="15" s="1"/>
  <c r="G146" i="15"/>
  <c r="H146" i="15" s="1"/>
  <c r="I146" i="15" s="1"/>
  <c r="I133" i="15"/>
  <c r="M127" i="15"/>
  <c r="M129" i="15"/>
  <c r="K80" i="15"/>
  <c r="K82" i="15" s="1"/>
  <c r="K92" i="15" s="1"/>
  <c r="K114" i="15"/>
  <c r="J82" i="15"/>
  <c r="J92" i="15" s="1"/>
  <c r="J90" i="15" s="1"/>
  <c r="J95" i="15"/>
  <c r="J97" i="15" s="1"/>
  <c r="J107" i="15" s="1"/>
  <c r="J105" i="15" s="1"/>
  <c r="M83" i="15"/>
  <c r="M85" i="15"/>
  <c r="I59" i="15"/>
  <c r="I60" i="15" s="1"/>
  <c r="N12" i="15"/>
  <c r="M39" i="15"/>
  <c r="M14" i="15"/>
  <c r="M112" i="15" s="1"/>
  <c r="M13" i="15"/>
  <c r="M41" i="15"/>
  <c r="I47" i="15"/>
  <c r="K36" i="15"/>
  <c r="K51" i="15" s="1"/>
  <c r="K53" i="15" s="1"/>
  <c r="K63" i="15" s="1"/>
  <c r="L19" i="15"/>
  <c r="L124" i="15" s="1"/>
  <c r="J44" i="15"/>
  <c r="J38" i="15"/>
  <c r="J48" i="15" s="1"/>
  <c r="J46" i="15" s="1"/>
  <c r="I40" i="13"/>
  <c r="I39" i="13"/>
  <c r="H41" i="13"/>
  <c r="H42" i="13"/>
  <c r="H32" i="13"/>
  <c r="H33" i="13"/>
  <c r="G34" i="13"/>
  <c r="G35" i="13"/>
  <c r="H27" i="13"/>
  <c r="H28" i="13"/>
  <c r="I25" i="13"/>
  <c r="I26" i="13"/>
  <c r="I18" i="13"/>
  <c r="I19" i="13"/>
  <c r="H20" i="13"/>
  <c r="H21" i="13"/>
  <c r="G13" i="13"/>
  <c r="G14" i="13"/>
  <c r="G15" i="13" s="1"/>
  <c r="H11" i="13"/>
  <c r="H12" i="13"/>
  <c r="L131" i="15" l="1"/>
  <c r="I155" i="15"/>
  <c r="L15" i="15"/>
  <c r="K22" i="15"/>
  <c r="K49" i="15" s="1"/>
  <c r="K52" i="15" s="1"/>
  <c r="K56" i="15" s="1"/>
  <c r="J103" i="15"/>
  <c r="J58" i="15"/>
  <c r="K71" i="15"/>
  <c r="K98" i="15" s="1"/>
  <c r="J71" i="15"/>
  <c r="J98" i="15" s="1"/>
  <c r="L174" i="15"/>
  <c r="L168" i="15"/>
  <c r="L177" i="15"/>
  <c r="L171" i="15"/>
  <c r="K122" i="15"/>
  <c r="K120" i="15" s="1"/>
  <c r="K159" i="15"/>
  <c r="K183" i="15" s="1"/>
  <c r="K165" i="15"/>
  <c r="K189" i="15" s="1"/>
  <c r="K156" i="15"/>
  <c r="K180" i="15" s="1"/>
  <c r="K162" i="15"/>
  <c r="K186" i="15" s="1"/>
  <c r="J116" i="15"/>
  <c r="J117" i="15" s="1"/>
  <c r="J160" i="15"/>
  <c r="J184" i="15" s="1"/>
  <c r="J154" i="15"/>
  <c r="J178" i="15" s="1"/>
  <c r="J157" i="15"/>
  <c r="J181" i="15" s="1"/>
  <c r="J163" i="15"/>
  <c r="J187" i="15" s="1"/>
  <c r="J69" i="15"/>
  <c r="J72" i="15" s="1"/>
  <c r="J73" i="15" s="1"/>
  <c r="H178" i="15"/>
  <c r="I179" i="15" s="1"/>
  <c r="I182" i="15"/>
  <c r="I164" i="15"/>
  <c r="I158" i="15"/>
  <c r="H184" i="15"/>
  <c r="I185" i="15" s="1"/>
  <c r="I188" i="15"/>
  <c r="I161" i="15"/>
  <c r="L16" i="15"/>
  <c r="L110" i="15" s="1"/>
  <c r="L24" i="15"/>
  <c r="L30" i="15" s="1"/>
  <c r="L68" i="15"/>
  <c r="L70" i="15" s="1"/>
  <c r="L78" i="15" s="1"/>
  <c r="L76" i="15" s="1"/>
  <c r="M131" i="15"/>
  <c r="J59" i="15"/>
  <c r="J25" i="15"/>
  <c r="J28" i="15" s="1"/>
  <c r="J29" i="15" s="1"/>
  <c r="J27" i="15"/>
  <c r="J54" i="15" s="1"/>
  <c r="M87" i="15"/>
  <c r="K74" i="15"/>
  <c r="K61" i="15"/>
  <c r="I94" i="15"/>
  <c r="K95" i="15"/>
  <c r="K97" i="15" s="1"/>
  <c r="K107" i="15" s="1"/>
  <c r="K105" i="15" s="1"/>
  <c r="K88" i="15"/>
  <c r="I102" i="15"/>
  <c r="J102" i="15" s="1"/>
  <c r="K69" i="15"/>
  <c r="K72" i="15" s="1"/>
  <c r="J146" i="15"/>
  <c r="K90" i="15"/>
  <c r="L118" i="15"/>
  <c r="L114" i="15"/>
  <c r="L139" i="15"/>
  <c r="L141" i="15" s="1"/>
  <c r="L151" i="15" s="1"/>
  <c r="N127" i="15"/>
  <c r="N128" i="15" s="1"/>
  <c r="N129" i="15"/>
  <c r="N130" i="15" s="1"/>
  <c r="L80" i="15"/>
  <c r="L82" i="15" s="1"/>
  <c r="L92" i="15" s="1"/>
  <c r="L90" i="15" s="1"/>
  <c r="K132" i="15"/>
  <c r="K147" i="15" s="1"/>
  <c r="K126" i="15"/>
  <c r="K136" i="15" s="1"/>
  <c r="K134" i="15" s="1"/>
  <c r="M68" i="15"/>
  <c r="M70" i="15" s="1"/>
  <c r="M78" i="15" s="1"/>
  <c r="K139" i="15"/>
  <c r="K141" i="15" s="1"/>
  <c r="K151" i="15" s="1"/>
  <c r="K149" i="15" s="1"/>
  <c r="K115" i="15"/>
  <c r="K142" i="15" s="1"/>
  <c r="K137" i="15"/>
  <c r="K113" i="15"/>
  <c r="J147" i="15"/>
  <c r="N83" i="15"/>
  <c r="N84" i="15" s="1"/>
  <c r="N85" i="15"/>
  <c r="N86" i="15" s="1"/>
  <c r="K96" i="15"/>
  <c r="K100" i="15" s="1"/>
  <c r="M43" i="15"/>
  <c r="L36" i="15"/>
  <c r="M19" i="15"/>
  <c r="M124" i="15" s="1"/>
  <c r="N39" i="15"/>
  <c r="N40" i="15" s="1"/>
  <c r="N14" i="15"/>
  <c r="N112" i="15" s="1"/>
  <c r="N13" i="15"/>
  <c r="N41" i="15"/>
  <c r="N42" i="15" s="1"/>
  <c r="K44" i="15"/>
  <c r="K59" i="15" s="1"/>
  <c r="K38" i="15"/>
  <c r="K48" i="15" s="1"/>
  <c r="K46" i="15" s="1"/>
  <c r="M15" i="15"/>
  <c r="M16" i="15"/>
  <c r="M110" i="15" s="1"/>
  <c r="M24" i="15"/>
  <c r="I41" i="13"/>
  <c r="I42" i="13"/>
  <c r="J40" i="13"/>
  <c r="J39" i="13"/>
  <c r="H34" i="13"/>
  <c r="H35" i="13"/>
  <c r="I33" i="13"/>
  <c r="I32" i="13"/>
  <c r="G36" i="13"/>
  <c r="J26" i="13"/>
  <c r="J25" i="13"/>
  <c r="I27" i="13"/>
  <c r="I28" i="13"/>
  <c r="I21" i="13"/>
  <c r="I20" i="13"/>
  <c r="J19" i="13"/>
  <c r="J18" i="13"/>
  <c r="I12" i="13"/>
  <c r="I11" i="13"/>
  <c r="H13" i="13"/>
  <c r="H14" i="13"/>
  <c r="K27" i="15" l="1"/>
  <c r="K54" i="15" s="1"/>
  <c r="K58" i="15"/>
  <c r="L26" i="15"/>
  <c r="L34" i="15" s="1"/>
  <c r="L32" i="15" s="1"/>
  <c r="K25" i="15"/>
  <c r="K28" i="15" s="1"/>
  <c r="K29" i="15" s="1"/>
  <c r="L51" i="15"/>
  <c r="L53" i="15" s="1"/>
  <c r="L63" i="15" s="1"/>
  <c r="L61" i="15" s="1"/>
  <c r="L74" i="15"/>
  <c r="M74" i="15" s="1"/>
  <c r="M177" i="15"/>
  <c r="M171" i="15"/>
  <c r="M174" i="15"/>
  <c r="M168" i="15"/>
  <c r="L88" i="15"/>
  <c r="L122" i="15"/>
  <c r="L120" i="15" s="1"/>
  <c r="L156" i="15"/>
  <c r="L180" i="15" s="1"/>
  <c r="L162" i="15"/>
  <c r="L186" i="15" s="1"/>
  <c r="L159" i="15"/>
  <c r="L183" i="15" s="1"/>
  <c r="L165" i="15"/>
  <c r="L189" i="15" s="1"/>
  <c r="L22" i="15"/>
  <c r="L49" i="15" s="1"/>
  <c r="L52" i="15" s="1"/>
  <c r="L56" i="15" s="1"/>
  <c r="L95" i="15"/>
  <c r="L97" i="15" s="1"/>
  <c r="L107" i="15" s="1"/>
  <c r="L105" i="15" s="1"/>
  <c r="K116" i="15"/>
  <c r="K117" i="15" s="1"/>
  <c r="K157" i="15"/>
  <c r="K163" i="15"/>
  <c r="K160" i="15"/>
  <c r="K184" i="15" s="1"/>
  <c r="K154" i="15"/>
  <c r="L66" i="15"/>
  <c r="L93" i="15" s="1"/>
  <c r="L96" i="15" s="1"/>
  <c r="L100" i="15" s="1"/>
  <c r="K73" i="15"/>
  <c r="K103" i="15"/>
  <c r="M76" i="15"/>
  <c r="L149" i="15"/>
  <c r="N68" i="15"/>
  <c r="M118" i="15"/>
  <c r="M114" i="15"/>
  <c r="K140" i="15"/>
  <c r="K144" i="15" s="1"/>
  <c r="L137" i="15"/>
  <c r="L140" i="15" s="1"/>
  <c r="L144" i="15" s="1"/>
  <c r="L115" i="15"/>
  <c r="L142" i="15" s="1"/>
  <c r="L113" i="15"/>
  <c r="M66" i="15"/>
  <c r="M93" i="15" s="1"/>
  <c r="M80" i="15"/>
  <c r="M95" i="15" s="1"/>
  <c r="M97" i="15" s="1"/>
  <c r="M107" i="15" s="1"/>
  <c r="L132" i="15"/>
  <c r="L147" i="15" s="1"/>
  <c r="L126" i="15"/>
  <c r="L136" i="15" s="1"/>
  <c r="L134" i="15" s="1"/>
  <c r="N131" i="15"/>
  <c r="K102" i="15"/>
  <c r="N87" i="15"/>
  <c r="N43" i="15"/>
  <c r="M30" i="15"/>
  <c r="M26" i="15"/>
  <c r="M34" i="15" s="1"/>
  <c r="N19" i="15"/>
  <c r="N124" i="15" s="1"/>
  <c r="M36" i="15"/>
  <c r="M51" i="15" s="1"/>
  <c r="M53" i="15" s="1"/>
  <c r="M63" i="15" s="1"/>
  <c r="M22" i="15"/>
  <c r="M49" i="15" s="1"/>
  <c r="M52" i="15" s="1"/>
  <c r="M56" i="15" s="1"/>
  <c r="N15" i="15"/>
  <c r="N16" i="15"/>
  <c r="N110" i="15" s="1"/>
  <c r="N24" i="15"/>
  <c r="L44" i="15"/>
  <c r="L59" i="15" s="1"/>
  <c r="L38" i="15"/>
  <c r="L48" i="15" s="1"/>
  <c r="L46" i="15" s="1"/>
  <c r="J42" i="13"/>
  <c r="J41" i="13"/>
  <c r="K40" i="13"/>
  <c r="K39" i="13"/>
  <c r="I35" i="13"/>
  <c r="I34" i="13"/>
  <c r="J33" i="13"/>
  <c r="J32" i="13"/>
  <c r="J28" i="13"/>
  <c r="J27" i="13"/>
  <c r="K26" i="13"/>
  <c r="K25" i="13"/>
  <c r="K18" i="13"/>
  <c r="K19" i="13"/>
  <c r="J21" i="13"/>
  <c r="J20" i="13"/>
  <c r="J12" i="13"/>
  <c r="J11" i="13"/>
  <c r="I14" i="13"/>
  <c r="I13" i="13"/>
  <c r="L71" i="15" l="1"/>
  <c r="L98" i="15" s="1"/>
  <c r="L25" i="15"/>
  <c r="L28" i="15" s="1"/>
  <c r="L29" i="15" s="1"/>
  <c r="L58" i="15"/>
  <c r="M58" i="15" s="1"/>
  <c r="M32" i="15"/>
  <c r="M105" i="15"/>
  <c r="L103" i="15"/>
  <c r="M61" i="15"/>
  <c r="L102" i="15"/>
  <c r="M88" i="15"/>
  <c r="M103" i="15" s="1"/>
  <c r="L69" i="15"/>
  <c r="L72" i="15" s="1"/>
  <c r="L73" i="15" s="1"/>
  <c r="L27" i="15"/>
  <c r="L54" i="15" s="1"/>
  <c r="M122" i="15"/>
  <c r="M120" i="15" s="1"/>
  <c r="M156" i="15"/>
  <c r="M180" i="15" s="1"/>
  <c r="M162" i="15"/>
  <c r="M186" i="15" s="1"/>
  <c r="M165" i="15"/>
  <c r="M189" i="15" s="1"/>
  <c r="M159" i="15"/>
  <c r="M183" i="15" s="1"/>
  <c r="L116" i="15"/>
  <c r="L154" i="15"/>
  <c r="L178" i="15" s="1"/>
  <c r="L157" i="15"/>
  <c r="L181" i="15" s="1"/>
  <c r="L163" i="15"/>
  <c r="L187" i="15" s="1"/>
  <c r="L160" i="15"/>
  <c r="L184" i="15" s="1"/>
  <c r="K178" i="15"/>
  <c r="K187" i="15"/>
  <c r="N177" i="15"/>
  <c r="N171" i="15"/>
  <c r="N168" i="15"/>
  <c r="N174" i="15"/>
  <c r="K181" i="15"/>
  <c r="L117" i="15"/>
  <c r="N74" i="15"/>
  <c r="N75" i="15" s="1"/>
  <c r="M69" i="15"/>
  <c r="M72" i="15" s="1"/>
  <c r="M71" i="15"/>
  <c r="M98" i="15" s="1"/>
  <c r="N70" i="15"/>
  <c r="N78" i="15" s="1"/>
  <c r="N76" i="15" s="1"/>
  <c r="N77" i="15" s="1"/>
  <c r="K146" i="15"/>
  <c r="L146" i="15" s="1"/>
  <c r="N139" i="15"/>
  <c r="N141" i="15" s="1"/>
  <c r="N151" i="15" s="1"/>
  <c r="N118" i="15"/>
  <c r="N119" i="15" s="1"/>
  <c r="N114" i="15"/>
  <c r="M82" i="15"/>
  <c r="M92" i="15" s="1"/>
  <c r="M90" i="15" s="1"/>
  <c r="N80" i="15"/>
  <c r="M137" i="15"/>
  <c r="M115" i="15"/>
  <c r="M142" i="15" s="1"/>
  <c r="M113" i="15"/>
  <c r="N66" i="15"/>
  <c r="N71" i="15" s="1"/>
  <c r="N98" i="15" s="1"/>
  <c r="M126" i="15"/>
  <c r="M136" i="15" s="1"/>
  <c r="M134" i="15" s="1"/>
  <c r="M132" i="15"/>
  <c r="M147" i="15" s="1"/>
  <c r="M139" i="15"/>
  <c r="M141" i="15" s="1"/>
  <c r="M151" i="15" s="1"/>
  <c r="M149" i="15" s="1"/>
  <c r="M96" i="15"/>
  <c r="M100" i="15" s="1"/>
  <c r="N30" i="15"/>
  <c r="N26" i="15"/>
  <c r="N34" i="15" s="1"/>
  <c r="N32" i="15" s="1"/>
  <c r="N22" i="15"/>
  <c r="N49" i="15" s="1"/>
  <c r="N50" i="15" s="1"/>
  <c r="N17" i="15"/>
  <c r="M25" i="15"/>
  <c r="M28" i="15" s="1"/>
  <c r="M27" i="15"/>
  <c r="M54" i="15" s="1"/>
  <c r="M44" i="15"/>
  <c r="M59" i="15" s="1"/>
  <c r="M38" i="15"/>
  <c r="M48" i="15" s="1"/>
  <c r="M46" i="15" s="1"/>
  <c r="N36" i="15"/>
  <c r="N51" i="15" s="1"/>
  <c r="N53" i="15" s="1"/>
  <c r="N63" i="15" s="1"/>
  <c r="N61" i="15" s="1"/>
  <c r="K42" i="13"/>
  <c r="K41" i="13"/>
  <c r="L39" i="13"/>
  <c r="L40" i="13"/>
  <c r="J35" i="13"/>
  <c r="J34" i="13"/>
  <c r="K32" i="13"/>
  <c r="K33" i="13"/>
  <c r="L25" i="13"/>
  <c r="L26" i="13"/>
  <c r="K27" i="13"/>
  <c r="K28" i="13"/>
  <c r="K20" i="13"/>
  <c r="K21" i="13"/>
  <c r="L18" i="13"/>
  <c r="L19" i="13"/>
  <c r="K11" i="13"/>
  <c r="K12" i="13"/>
  <c r="J14" i="13"/>
  <c r="J13" i="13"/>
  <c r="N93" i="15" l="1"/>
  <c r="N96" i="15" s="1"/>
  <c r="N100" i="15" s="1"/>
  <c r="N101" i="15" s="1"/>
  <c r="N88" i="15"/>
  <c r="N89" i="15" s="1"/>
  <c r="N33" i="15"/>
  <c r="N62" i="15"/>
  <c r="M73" i="15"/>
  <c r="N122" i="15"/>
  <c r="N120" i="15" s="1"/>
  <c r="N121" i="15" s="1"/>
  <c r="N159" i="15"/>
  <c r="N183" i="15" s="1"/>
  <c r="N165" i="15"/>
  <c r="N189" i="15" s="1"/>
  <c r="N156" i="15"/>
  <c r="N180" i="15" s="1"/>
  <c r="N162" i="15"/>
  <c r="N186" i="15" s="1"/>
  <c r="M116" i="15"/>
  <c r="M117" i="15" s="1"/>
  <c r="M160" i="15"/>
  <c r="M184" i="15" s="1"/>
  <c r="M154" i="15"/>
  <c r="M157" i="15"/>
  <c r="M181" i="15" s="1"/>
  <c r="M163" i="15"/>
  <c r="M29" i="15"/>
  <c r="N82" i="15"/>
  <c r="N92" i="15" s="1"/>
  <c r="N90" i="15" s="1"/>
  <c r="N91" i="15" s="1"/>
  <c r="N67" i="15"/>
  <c r="N99" i="15"/>
  <c r="N69" i="15"/>
  <c r="N72" i="15" s="1"/>
  <c r="N95" i="15"/>
  <c r="N97" i="15" s="1"/>
  <c r="N107" i="15" s="1"/>
  <c r="N105" i="15" s="1"/>
  <c r="N106" i="15" s="1"/>
  <c r="N137" i="15"/>
  <c r="N140" i="15" s="1"/>
  <c r="N144" i="15" s="1"/>
  <c r="N115" i="15"/>
  <c r="N142" i="15" s="1"/>
  <c r="N143" i="15" s="1"/>
  <c r="N113" i="15"/>
  <c r="M140" i="15"/>
  <c r="M144" i="15" s="1"/>
  <c r="M146" i="15" s="1"/>
  <c r="N149" i="15"/>
  <c r="N150" i="15" s="1"/>
  <c r="N111" i="15"/>
  <c r="N132" i="15"/>
  <c r="N133" i="15" s="1"/>
  <c r="N126" i="15"/>
  <c r="N136" i="15" s="1"/>
  <c r="N134" i="15" s="1"/>
  <c r="N135" i="15" s="1"/>
  <c r="M102" i="15"/>
  <c r="N31" i="15"/>
  <c r="N52" i="15"/>
  <c r="N56" i="15" s="1"/>
  <c r="N57" i="15" s="1"/>
  <c r="N38" i="15"/>
  <c r="N48" i="15" s="1"/>
  <c r="N46" i="15" s="1"/>
  <c r="N47" i="15" s="1"/>
  <c r="N44" i="15"/>
  <c r="N45" i="15" s="1"/>
  <c r="N27" i="15"/>
  <c r="N54" i="15" s="1"/>
  <c r="N55" i="15" s="1"/>
  <c r="N25" i="15"/>
  <c r="N28" i="15" s="1"/>
  <c r="N23" i="15"/>
  <c r="L41" i="13"/>
  <c r="L42" i="13"/>
  <c r="L43" i="13" s="1"/>
  <c r="L32" i="13"/>
  <c r="L33" i="13"/>
  <c r="K34" i="13"/>
  <c r="K35" i="13"/>
  <c r="L27" i="13"/>
  <c r="L28" i="13"/>
  <c r="L29" i="13" s="1"/>
  <c r="L20" i="13"/>
  <c r="L21" i="13"/>
  <c r="L22" i="13" s="1"/>
  <c r="K13" i="13"/>
  <c r="K14" i="13"/>
  <c r="L11" i="13"/>
  <c r="L12" i="13"/>
  <c r="N102" i="15" l="1"/>
  <c r="N94" i="15"/>
  <c r="N103" i="15"/>
  <c r="N104" i="15" s="1"/>
  <c r="N73" i="15"/>
  <c r="N29" i="15"/>
  <c r="M178" i="15"/>
  <c r="N116" i="15"/>
  <c r="N117" i="15" s="1"/>
  <c r="N160" i="15"/>
  <c r="N184" i="15" s="1"/>
  <c r="N185" i="15" s="1"/>
  <c r="N154" i="15"/>
  <c r="N178" i="15" s="1"/>
  <c r="N163" i="15"/>
  <c r="N187" i="15" s="1"/>
  <c r="N157" i="15"/>
  <c r="M187" i="15"/>
  <c r="N145" i="15"/>
  <c r="N138" i="15"/>
  <c r="N146" i="15"/>
  <c r="N147" i="15"/>
  <c r="N148" i="15" s="1"/>
  <c r="N58" i="15"/>
  <c r="N59" i="15"/>
  <c r="N60" i="15" s="1"/>
  <c r="L34" i="13"/>
  <c r="L35" i="13"/>
  <c r="L36" i="13" s="1"/>
  <c r="L13" i="13"/>
  <c r="L14" i="13"/>
  <c r="N155" i="15" l="1"/>
  <c r="N188" i="15"/>
  <c r="N181" i="15"/>
  <c r="N182" i="15" s="1"/>
  <c r="N158" i="15"/>
  <c r="N164" i="15"/>
  <c r="N179" i="15"/>
  <c r="N161" i="15"/>
  <c r="L15" i="13"/>
</calcChain>
</file>

<file path=xl/sharedStrings.xml><?xml version="1.0" encoding="utf-8"?>
<sst xmlns="http://schemas.openxmlformats.org/spreadsheetml/2006/main" count="337" uniqueCount="69">
  <si>
    <t>Bitcoin Compound Annual Growth Rate</t>
  </si>
  <si>
    <t>Bitcoin USD Price</t>
  </si>
  <si>
    <t>Bitcoin USD Marketcap</t>
  </si>
  <si>
    <t>Bitcoin USD Price Start</t>
  </si>
  <si>
    <t>Stable Receiver Yield Allocation</t>
  </si>
  <si>
    <t>Stable Provider Yield Allocation</t>
  </si>
  <si>
    <t>Stable Balancer Yield Allocation</t>
  </si>
  <si>
    <t>Year 1</t>
  </si>
  <si>
    <t>Year 2</t>
  </si>
  <si>
    <t>Year 3</t>
  </si>
  <si>
    <t>Year 4</t>
  </si>
  <si>
    <t>Year 5</t>
  </si>
  <si>
    <t>Year 6</t>
  </si>
  <si>
    <t>Year 7</t>
  </si>
  <si>
    <t>Year 8</t>
  </si>
  <si>
    <t>Year 9</t>
  </si>
  <si>
    <t>Year 10</t>
  </si>
  <si>
    <t>Remaining BTC Yield %</t>
  </si>
  <si>
    <t>Cumulative BTC Yield %</t>
  </si>
  <si>
    <t>Bitcoin Investor / Stable Provider</t>
  </si>
  <si>
    <t>Lightning Bank / Stable Balancer</t>
  </si>
  <si>
    <t>Fiat Investor / Stable Receiver</t>
  </si>
  <si>
    <t>Total Yield Allocation</t>
  </si>
  <si>
    <t>Annual BTC Yield %</t>
  </si>
  <si>
    <t>Average Annual BTC Yield %</t>
  </si>
  <si>
    <t>Start Price</t>
  </si>
  <si>
    <t>End Price</t>
  </si>
  <si>
    <t>CAGR</t>
  </si>
  <si>
    <t>Start Date</t>
  </si>
  <si>
    <t>End Date</t>
  </si>
  <si>
    <t>Bitcoin Compound Annual Growth Rate Calculator</t>
  </si>
  <si>
    <t>Yield Estimate Calculator</t>
  </si>
  <si>
    <t>Yield Estimate Variables</t>
  </si>
  <si>
    <t>Bitcoin Lightning Bank - The Decentralized Strategy
Pairing Bitcoin Investors with Fiat Investors for Yield Extraction</t>
  </si>
  <si>
    <t>Threshold where the majority of Bitcoin Yield has been extracted and it may be ideal to sell principal BTC to repay debt obligation</t>
  </si>
  <si>
    <t>Significant data points</t>
  </si>
  <si>
    <t>Yield Estimate 10 Year Burndown</t>
  </si>
  <si>
    <t>Summary</t>
  </si>
  <si>
    <t>Simple Interest</t>
  </si>
  <si>
    <t>Compounded Interest</t>
  </si>
  <si>
    <t>Bitcoin Growth Yield (BiGY)</t>
  </si>
  <si>
    <t>Bitcoin Transaction Yield (BiTY)</t>
  </si>
  <si>
    <t>Annual BTC %</t>
  </si>
  <si>
    <t>Average Annual BTC %</t>
  </si>
  <si>
    <t>Cumulative BTC %</t>
  </si>
  <si>
    <t>Annual USD %</t>
  </si>
  <si>
    <t>Average Annual USD %</t>
  </si>
  <si>
    <t>Test Case Annual BTC</t>
  </si>
  <si>
    <t>Test Case Cumulative BTC</t>
  </si>
  <si>
    <t>Test Case Annual USD</t>
  </si>
  <si>
    <t>Test Case Cumulative USD</t>
  </si>
  <si>
    <t>Test Case Average Annual USD</t>
  </si>
  <si>
    <t>Total Yield</t>
  </si>
  <si>
    <t>Annual</t>
  </si>
  <si>
    <t>Average Annual</t>
  </si>
  <si>
    <t>Cumulative</t>
  </si>
  <si>
    <t>Lightning Bank Bitcoin Total Value Locked (TVL) Test Cases</t>
  </si>
  <si>
    <t>Remaining BTC %</t>
  </si>
  <si>
    <t>Bitcoin</t>
  </si>
  <si>
    <t>USD Price</t>
  </si>
  <si>
    <t>USD Marketcap</t>
  </si>
  <si>
    <t>Entire LN Channel Cumulative BTC %</t>
  </si>
  <si>
    <t>Entire LN Channel Annual BTC %</t>
  </si>
  <si>
    <t>BTC CAGR</t>
  </si>
  <si>
    <t>SR</t>
  </si>
  <si>
    <t>SP</t>
  </si>
  <si>
    <t>SB</t>
  </si>
  <si>
    <t>Bitcoin Compound Annual Growth Rate (BTC CAGR)</t>
  </si>
  <si>
    <t>Bitcoin Annual Transaction Income (BTC 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</si>
</sst>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quot; M&quot;"/>
    <numFmt numFmtId="165" formatCode="&quot;$&quot;#,##0,&quot; K&quot;"/>
    <numFmt numFmtId="166" formatCode="&quot;$&quot;###0.00,,,,&quot; T&quot;"/>
    <numFmt numFmtId="167" formatCode="&quot;$&quot;#,##0.00"/>
    <numFmt numFmtId="169" formatCode="#,##0,&quot; K&quot;"/>
    <numFmt numFmtId="172" formatCode="###0.0,,&quot; M&quot;"/>
  </numFmts>
  <fonts count="10" x14ac:knownFonts="1">
    <font>
      <sz val="11"/>
      <color theme="1"/>
      <name val="Aptos Narrow"/>
      <family val="2"/>
      <scheme val="minor"/>
    </font>
    <font>
      <sz val="11"/>
      <color theme="1"/>
      <name val="Aptos Display"/>
      <family val="2"/>
      <scheme val="major"/>
    </font>
    <font>
      <sz val="11"/>
      <color theme="0"/>
      <name val="Aptos Display"/>
      <family val="2"/>
      <scheme val="major"/>
    </font>
    <font>
      <sz val="11"/>
      <name val="Aptos Display"/>
      <family val="2"/>
      <scheme val="major"/>
    </font>
    <font>
      <b/>
      <sz val="11"/>
      <color theme="1"/>
      <name val="Aptos Display"/>
      <family val="2"/>
      <scheme val="major"/>
    </font>
    <font>
      <b/>
      <sz val="11"/>
      <name val="Aptos Display"/>
      <family val="2"/>
      <scheme val="major"/>
    </font>
    <font>
      <sz val="12"/>
      <color theme="0"/>
      <name val="Aptos Display"/>
      <family val="2"/>
      <scheme val="major"/>
    </font>
    <font>
      <b/>
      <sz val="11"/>
      <color theme="1"/>
      <name val="Aptos Narrow"/>
      <family val="2"/>
      <scheme val="minor"/>
    </font>
    <font>
      <b/>
      <sz val="11"/>
      <color theme="0"/>
      <name val="Aptos Display"/>
      <family val="2"/>
      <scheme val="major"/>
    </font>
    <font>
      <sz val="18"/>
      <color theme="0"/>
      <name val="Aptos Display"/>
      <family val="2"/>
      <scheme val="major"/>
    </font>
  </fonts>
  <fills count="13">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5DAA9"/>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3" tint="0.89999084444715716"/>
        <bgColor indexed="64"/>
      </patternFill>
    </fill>
  </fills>
  <borders count="20">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0"/>
      </left>
      <right/>
      <top/>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thin">
        <color theme="0"/>
      </left>
      <right/>
      <top style="thin">
        <color indexed="64"/>
      </top>
      <bottom/>
      <diagonal/>
    </border>
    <border>
      <left style="thin">
        <color theme="0"/>
      </left>
      <right/>
      <top/>
      <bottom style="thin">
        <color indexed="64"/>
      </bottom>
      <diagonal/>
    </border>
  </borders>
  <cellStyleXfs count="1">
    <xf numFmtId="0" fontId="0" fillId="0" borderId="0"/>
  </cellStyleXfs>
  <cellXfs count="118">
    <xf numFmtId="0" fontId="0" fillId="0" borderId="0" xfId="0"/>
    <xf numFmtId="0" fontId="1" fillId="0" borderId="5" xfId="0" applyFont="1" applyBorder="1" applyAlignment="1">
      <alignment horizontal="left" vertical="center" indent="1"/>
    </xf>
    <xf numFmtId="164" fontId="1" fillId="0" borderId="1" xfId="0" applyNumberFormat="1" applyFont="1" applyBorder="1" applyAlignment="1">
      <alignment horizontal="left" vertical="center" indent="1"/>
    </xf>
    <xf numFmtId="0" fontId="4" fillId="5" borderId="0" xfId="0" applyFont="1" applyFill="1" applyAlignment="1">
      <alignment horizontal="left" vertical="center" indent="1"/>
    </xf>
    <xf numFmtId="0" fontId="1" fillId="0" borderId="0" xfId="0" applyFont="1" applyAlignment="1">
      <alignment horizontal="left" vertical="center" wrapText="1" indent="1"/>
    </xf>
    <xf numFmtId="0" fontId="1" fillId="0" borderId="0" xfId="0" applyFont="1" applyAlignment="1">
      <alignment horizontal="left" vertical="center" indent="1"/>
    </xf>
    <xf numFmtId="0" fontId="4" fillId="3" borderId="0" xfId="0" applyFont="1" applyFill="1" applyAlignment="1">
      <alignment horizontal="left" vertical="center" indent="1"/>
    </xf>
    <xf numFmtId="0" fontId="1" fillId="0" borderId="4" xfId="0" applyFont="1" applyBorder="1" applyAlignment="1">
      <alignment horizontal="left" vertical="center" indent="1"/>
    </xf>
    <xf numFmtId="164" fontId="1" fillId="0" borderId="2" xfId="0" applyNumberFormat="1" applyFont="1" applyBorder="1" applyAlignment="1">
      <alignment horizontal="left" vertical="center" indent="1"/>
    </xf>
    <xf numFmtId="0" fontId="1" fillId="0" borderId="6" xfId="0" applyFont="1" applyBorder="1" applyAlignment="1">
      <alignment horizontal="left" vertical="center" indent="1"/>
    </xf>
    <xf numFmtId="164" fontId="4" fillId="4" borderId="0" xfId="0" applyNumberFormat="1" applyFont="1" applyFill="1" applyAlignment="1">
      <alignment horizontal="left" vertical="center" wrapText="1" indent="1"/>
    </xf>
    <xf numFmtId="166" fontId="1" fillId="0" borderId="9" xfId="0" applyNumberFormat="1" applyFont="1" applyBorder="1" applyAlignment="1">
      <alignment horizontal="left" vertical="center" indent="1"/>
    </xf>
    <xf numFmtId="166" fontId="1" fillId="0" borderId="3" xfId="0" applyNumberFormat="1" applyFont="1" applyBorder="1" applyAlignment="1">
      <alignment horizontal="left" vertical="center" indent="1"/>
    </xf>
    <xf numFmtId="167" fontId="1" fillId="5" borderId="0" xfId="0" applyNumberFormat="1" applyFont="1" applyFill="1" applyAlignment="1">
      <alignment horizontal="left" vertical="center" indent="1"/>
    </xf>
    <xf numFmtId="0" fontId="1" fillId="5" borderId="0" xfId="0" applyFont="1" applyFill="1" applyAlignment="1">
      <alignment horizontal="left" vertical="center" indent="1"/>
    </xf>
    <xf numFmtId="10" fontId="5" fillId="5" borderId="0" xfId="0" applyNumberFormat="1" applyFont="1" applyFill="1" applyAlignment="1">
      <alignment horizontal="left" vertical="center" indent="1"/>
    </xf>
    <xf numFmtId="0" fontId="1" fillId="7" borderId="0" xfId="0" applyFont="1" applyFill="1" applyAlignment="1">
      <alignment horizontal="left" vertical="center" wrapText="1" indent="1"/>
    </xf>
    <xf numFmtId="10" fontId="4" fillId="7" borderId="7" xfId="0" applyNumberFormat="1" applyFont="1" applyFill="1" applyBorder="1" applyAlignment="1">
      <alignment horizontal="left" vertical="center" wrapText="1" indent="1"/>
    </xf>
    <xf numFmtId="10" fontId="4" fillId="7" borderId="6" xfId="0" applyNumberFormat="1" applyFont="1" applyFill="1" applyBorder="1" applyAlignment="1">
      <alignment horizontal="left" vertical="center" wrapText="1" indent="1"/>
    </xf>
    <xf numFmtId="10" fontId="3" fillId="0" borderId="1" xfId="0" applyNumberFormat="1" applyFont="1" applyBorder="1" applyAlignment="1">
      <alignment horizontal="left" vertical="center" indent="1"/>
    </xf>
    <xf numFmtId="10" fontId="1" fillId="0" borderId="1" xfId="0" applyNumberFormat="1" applyFont="1" applyBorder="1" applyAlignment="1">
      <alignment horizontal="left" vertical="center" indent="1"/>
    </xf>
    <xf numFmtId="0" fontId="2" fillId="2" borderId="0" xfId="0" applyFont="1" applyFill="1" applyAlignment="1">
      <alignment horizontal="right" vertical="center" indent="1"/>
    </xf>
    <xf numFmtId="0" fontId="2" fillId="2" borderId="0" xfId="0" applyFont="1" applyFill="1" applyAlignment="1">
      <alignment horizontal="right" vertical="center" wrapText="1" indent="1"/>
    </xf>
    <xf numFmtId="0" fontId="1" fillId="0" borderId="1" xfId="0" applyFont="1" applyBorder="1" applyAlignment="1">
      <alignment horizontal="left" vertical="center" indent="1"/>
    </xf>
    <xf numFmtId="10" fontId="1" fillId="0" borderId="9" xfId="0" applyNumberFormat="1" applyFont="1" applyBorder="1" applyAlignment="1">
      <alignment horizontal="left" vertical="center" indent="1"/>
    </xf>
    <xf numFmtId="10" fontId="1" fillId="0" borderId="3" xfId="0" applyNumberFormat="1" applyFont="1" applyBorder="1" applyAlignment="1">
      <alignment horizontal="left" vertical="center" indent="1"/>
    </xf>
    <xf numFmtId="10" fontId="3" fillId="0" borderId="3" xfId="0" applyNumberFormat="1" applyFont="1" applyBorder="1" applyAlignment="1">
      <alignment horizontal="left" vertical="center" indent="1"/>
    </xf>
    <xf numFmtId="10" fontId="1" fillId="0" borderId="8" xfId="0" applyNumberFormat="1" applyFont="1" applyBorder="1" applyAlignment="1">
      <alignment horizontal="left" vertical="center" indent="1"/>
    </xf>
    <xf numFmtId="0" fontId="1" fillId="0" borderId="2" xfId="0" applyFont="1" applyBorder="1" applyAlignment="1">
      <alignment horizontal="left" vertical="center" indent="1"/>
    </xf>
    <xf numFmtId="164" fontId="1" fillId="0" borderId="4" xfId="0" applyNumberFormat="1" applyFont="1" applyBorder="1" applyAlignment="1">
      <alignment horizontal="left" vertical="center" indent="1"/>
    </xf>
    <xf numFmtId="10" fontId="1" fillId="0" borderId="4" xfId="0" applyNumberFormat="1" applyFont="1" applyBorder="1" applyAlignment="1">
      <alignment horizontal="left" vertical="center" indent="1"/>
    </xf>
    <xf numFmtId="10" fontId="5" fillId="6" borderId="0" xfId="0" applyNumberFormat="1" applyFont="1" applyFill="1" applyAlignment="1">
      <alignment horizontal="left" vertical="center" indent="1"/>
    </xf>
    <xf numFmtId="10" fontId="5" fillId="9" borderId="0" xfId="0" applyNumberFormat="1" applyFont="1" applyFill="1" applyAlignment="1">
      <alignment horizontal="left" vertical="center" indent="1"/>
    </xf>
    <xf numFmtId="10" fontId="4" fillId="9" borderId="7" xfId="0" applyNumberFormat="1" applyFont="1" applyFill="1" applyBorder="1" applyAlignment="1">
      <alignment horizontal="left" vertical="center" wrapText="1" indent="1"/>
    </xf>
    <xf numFmtId="0" fontId="1" fillId="9" borderId="0" xfId="0" applyFont="1" applyFill="1" applyAlignment="1">
      <alignment horizontal="left" vertical="center" wrapText="1" indent="1"/>
    </xf>
    <xf numFmtId="10" fontId="4" fillId="9" borderId="7" xfId="0" applyNumberFormat="1" applyFont="1" applyFill="1" applyBorder="1" applyAlignment="1">
      <alignment horizontal="left" vertical="center" indent="1"/>
    </xf>
    <xf numFmtId="10" fontId="4" fillId="6" borderId="7" xfId="0" applyNumberFormat="1" applyFont="1" applyFill="1" applyBorder="1" applyAlignment="1">
      <alignment horizontal="left" vertical="center" wrapText="1" indent="1"/>
    </xf>
    <xf numFmtId="0" fontId="1" fillId="6" borderId="0" xfId="0" applyFont="1" applyFill="1" applyAlignment="1">
      <alignment horizontal="left" vertical="center" wrapText="1" indent="1"/>
    </xf>
    <xf numFmtId="0" fontId="1" fillId="0" borderId="10" xfId="0" applyFont="1" applyBorder="1" applyAlignment="1">
      <alignment horizontal="left" vertical="center" indent="1"/>
    </xf>
    <xf numFmtId="10" fontId="1" fillId="0" borderId="2" xfId="0" applyNumberFormat="1" applyFont="1" applyBorder="1" applyAlignment="1">
      <alignment horizontal="left" vertical="center" indent="1"/>
    </xf>
    <xf numFmtId="0" fontId="6" fillId="2" borderId="0" xfId="0" applyFont="1" applyFill="1" applyAlignment="1">
      <alignment horizontal="center" vertical="center" wrapText="1"/>
    </xf>
    <xf numFmtId="4" fontId="1" fillId="0" borderId="0" xfId="0" applyNumberFormat="1" applyFont="1" applyBorder="1" applyAlignment="1">
      <alignment horizontal="left" vertical="center" indent="1"/>
    </xf>
    <xf numFmtId="10" fontId="1" fillId="0" borderId="0" xfId="0" applyNumberFormat="1" applyFont="1" applyBorder="1" applyAlignment="1">
      <alignment horizontal="left" vertical="center" indent="1"/>
    </xf>
    <xf numFmtId="164" fontId="1" fillId="0" borderId="0" xfId="0" applyNumberFormat="1" applyFont="1" applyBorder="1" applyAlignment="1">
      <alignment horizontal="left" vertical="center" indent="1"/>
    </xf>
    <xf numFmtId="0" fontId="1" fillId="0" borderId="0" xfId="0" applyFont="1" applyFill="1" applyBorder="1" applyAlignment="1">
      <alignment horizontal="left" vertical="center" indent="1"/>
    </xf>
    <xf numFmtId="165" fontId="1" fillId="0" borderId="0" xfId="0" applyNumberFormat="1" applyFont="1" applyBorder="1" applyAlignment="1">
      <alignment horizontal="left" vertical="center" indent="1"/>
    </xf>
    <xf numFmtId="0" fontId="1" fillId="0" borderId="0" xfId="0" applyFont="1" applyBorder="1" applyAlignment="1">
      <alignment horizontal="left" vertical="center" indent="1"/>
    </xf>
    <xf numFmtId="0" fontId="3" fillId="0" borderId="0" xfId="0" applyFont="1" applyFill="1" applyBorder="1" applyAlignment="1">
      <alignment horizontal="left" vertical="center" indent="1"/>
    </xf>
    <xf numFmtId="10" fontId="8" fillId="10" borderId="0" xfId="0" applyNumberFormat="1" applyFont="1" applyFill="1" applyBorder="1" applyAlignment="1">
      <alignment horizontal="left" vertical="center" indent="1"/>
    </xf>
    <xf numFmtId="10" fontId="8" fillId="10" borderId="0" xfId="0" applyNumberFormat="1" applyFont="1" applyFill="1" applyBorder="1" applyAlignment="1">
      <alignment horizontal="left" vertical="center" wrapText="1" indent="1"/>
    </xf>
    <xf numFmtId="10" fontId="2" fillId="2" borderId="0" xfId="0" applyNumberFormat="1" applyFont="1" applyFill="1" applyBorder="1" applyAlignment="1">
      <alignment horizontal="left" vertical="center" wrapText="1" indent="1"/>
    </xf>
    <xf numFmtId="167" fontId="1" fillId="4" borderId="0" xfId="0" applyNumberFormat="1" applyFont="1" applyFill="1" applyBorder="1" applyAlignment="1">
      <alignment horizontal="left" vertical="center" indent="1"/>
    </xf>
    <xf numFmtId="14" fontId="1" fillId="4" borderId="0" xfId="0" applyNumberFormat="1" applyFont="1" applyFill="1" applyBorder="1" applyAlignment="1">
      <alignment horizontal="left" vertical="center" wrapText="1" indent="1"/>
    </xf>
    <xf numFmtId="167" fontId="1" fillId="0" borderId="0" xfId="0" applyNumberFormat="1" applyFont="1" applyBorder="1" applyAlignment="1">
      <alignment horizontal="left" vertical="center" indent="1"/>
    </xf>
    <xf numFmtId="0" fontId="1" fillId="0" borderId="1" xfId="0" applyFont="1" applyFill="1" applyBorder="1" applyAlignment="1">
      <alignment horizontal="left" vertical="center" indent="1"/>
    </xf>
    <xf numFmtId="0" fontId="5" fillId="6" borderId="12" xfId="0" applyFont="1" applyFill="1" applyBorder="1" applyAlignment="1">
      <alignment horizontal="left" vertical="center" indent="1"/>
    </xf>
    <xf numFmtId="10" fontId="5" fillId="6" borderId="12" xfId="0" applyNumberFormat="1" applyFont="1" applyFill="1" applyBorder="1" applyAlignment="1">
      <alignment horizontal="left" vertical="center" indent="1"/>
    </xf>
    <xf numFmtId="10" fontId="4" fillId="6" borderId="12" xfId="0" applyNumberFormat="1" applyFont="1" applyFill="1" applyBorder="1" applyAlignment="1">
      <alignment horizontal="left" vertical="center" indent="1"/>
    </xf>
    <xf numFmtId="0" fontId="3" fillId="0" borderId="12" xfId="0" applyFont="1" applyFill="1" applyBorder="1" applyAlignment="1">
      <alignment horizontal="left" vertical="center" indent="1"/>
    </xf>
    <xf numFmtId="0" fontId="1" fillId="0" borderId="14" xfId="0" applyFont="1" applyBorder="1" applyAlignment="1">
      <alignment horizontal="left" vertical="center" indent="1"/>
    </xf>
    <xf numFmtId="0" fontId="3" fillId="0" borderId="14" xfId="0" applyFont="1" applyFill="1" applyBorder="1" applyAlignment="1">
      <alignment horizontal="left" vertical="center" indent="1"/>
    </xf>
    <xf numFmtId="4" fontId="1" fillId="0" borderId="14" xfId="0" applyNumberFormat="1" applyFont="1" applyBorder="1" applyAlignment="1">
      <alignment horizontal="left" vertical="center" indent="1"/>
    </xf>
    <xf numFmtId="164" fontId="1" fillId="0" borderId="14" xfId="0" applyNumberFormat="1" applyFont="1" applyBorder="1" applyAlignment="1">
      <alignment horizontal="left" vertical="center" indent="1"/>
    </xf>
    <xf numFmtId="164" fontId="1" fillId="7" borderId="14" xfId="0" applyNumberFormat="1" applyFont="1" applyFill="1" applyBorder="1" applyAlignment="1">
      <alignment horizontal="left" vertical="center" indent="1"/>
    </xf>
    <xf numFmtId="165" fontId="1" fillId="7" borderId="14" xfId="0" applyNumberFormat="1" applyFont="1" applyFill="1" applyBorder="1" applyAlignment="1">
      <alignment horizontal="left" vertical="center" indent="1"/>
    </xf>
    <xf numFmtId="165" fontId="1" fillId="0" borderId="14" xfId="0" applyNumberFormat="1" applyFont="1" applyBorder="1" applyAlignment="1">
      <alignment horizontal="left" vertical="center" indent="1"/>
    </xf>
    <xf numFmtId="0" fontId="1" fillId="0" borderId="14" xfId="0" applyFont="1" applyFill="1" applyBorder="1" applyAlignment="1">
      <alignment horizontal="left" vertical="center" indent="1"/>
    </xf>
    <xf numFmtId="0" fontId="1" fillId="0" borderId="15" xfId="0" applyFont="1" applyBorder="1" applyAlignment="1">
      <alignment horizontal="left" vertical="center" indent="1"/>
    </xf>
    <xf numFmtId="169" fontId="1" fillId="0" borderId="14" xfId="0" applyNumberFormat="1" applyFont="1" applyBorder="1" applyAlignment="1">
      <alignment horizontal="left" vertical="center" indent="1"/>
    </xf>
    <xf numFmtId="169" fontId="1" fillId="0" borderId="0" xfId="0" applyNumberFormat="1" applyFont="1" applyBorder="1" applyAlignment="1">
      <alignment horizontal="left" vertical="center" indent="1"/>
    </xf>
    <xf numFmtId="0" fontId="5" fillId="12" borderId="0" xfId="0" applyFont="1" applyFill="1" applyBorder="1" applyAlignment="1">
      <alignment horizontal="left" vertical="center" indent="1"/>
    </xf>
    <xf numFmtId="0" fontId="1" fillId="0" borderId="16" xfId="0" applyFont="1" applyBorder="1" applyAlignment="1">
      <alignment horizontal="left" vertical="center" indent="1"/>
    </xf>
    <xf numFmtId="0" fontId="1" fillId="0" borderId="17" xfId="0" applyFont="1" applyBorder="1" applyAlignment="1">
      <alignment horizontal="left" vertical="center" indent="1"/>
    </xf>
    <xf numFmtId="166" fontId="1" fillId="0" borderId="14" xfId="0" applyNumberFormat="1" applyFont="1" applyBorder="1" applyAlignment="1">
      <alignment horizontal="left" vertical="center" indent="1"/>
    </xf>
    <xf numFmtId="0" fontId="1" fillId="0" borderId="5" xfId="0" applyFont="1" applyBorder="1" applyAlignment="1">
      <alignment horizontal="left" vertical="center" indent="1"/>
    </xf>
    <xf numFmtId="0" fontId="1" fillId="0" borderId="18" xfId="0" applyFont="1" applyBorder="1" applyAlignment="1">
      <alignment horizontal="left" vertical="center" indent="1"/>
    </xf>
    <xf numFmtId="0" fontId="1" fillId="0" borderId="11" xfId="0" applyFont="1" applyBorder="1" applyAlignment="1">
      <alignment horizontal="left" vertical="center" indent="1"/>
    </xf>
    <xf numFmtId="0" fontId="1" fillId="0" borderId="19" xfId="0" applyFont="1" applyBorder="1" applyAlignment="1">
      <alignment horizontal="left" vertical="center" indent="1"/>
    </xf>
    <xf numFmtId="10" fontId="3" fillId="0" borderId="14" xfId="0" applyNumberFormat="1" applyFont="1" applyFill="1" applyBorder="1" applyAlignment="1">
      <alignment horizontal="left" vertical="center" indent="1"/>
    </xf>
    <xf numFmtId="10" fontId="2" fillId="2" borderId="0" xfId="0" applyNumberFormat="1" applyFont="1" applyFill="1" applyBorder="1" applyAlignment="1">
      <alignment vertical="center" wrapText="1"/>
    </xf>
    <xf numFmtId="10" fontId="4" fillId="8" borderId="0" xfId="0" applyNumberFormat="1" applyFont="1" applyFill="1" applyBorder="1" applyAlignment="1">
      <alignment vertical="center" wrapText="1"/>
    </xf>
    <xf numFmtId="0" fontId="9" fillId="2" borderId="0" xfId="0" applyFont="1" applyFill="1" applyBorder="1" applyAlignment="1">
      <alignment horizontal="center" vertical="center" wrapText="1"/>
    </xf>
    <xf numFmtId="3" fontId="1" fillId="0" borderId="14" xfId="0" applyNumberFormat="1" applyFont="1" applyBorder="1" applyAlignment="1">
      <alignment horizontal="left" vertical="center" indent="1"/>
    </xf>
    <xf numFmtId="3" fontId="4" fillId="9" borderId="14" xfId="0" applyNumberFormat="1" applyFont="1" applyFill="1" applyBorder="1" applyAlignment="1">
      <alignment horizontal="left" vertical="center" indent="1"/>
    </xf>
    <xf numFmtId="0" fontId="1" fillId="0" borderId="15" xfId="0" applyFont="1" applyFill="1" applyBorder="1" applyAlignment="1">
      <alignment horizontal="left" vertical="center" indent="1"/>
    </xf>
    <xf numFmtId="172" fontId="4" fillId="6" borderId="12" xfId="0" applyNumberFormat="1" applyFont="1" applyFill="1" applyBorder="1" applyAlignment="1">
      <alignment horizontal="left" vertical="center" indent="1"/>
    </xf>
    <xf numFmtId="3" fontId="4" fillId="6" borderId="12" xfId="0" applyNumberFormat="1" applyFont="1" applyFill="1" applyBorder="1" applyAlignment="1">
      <alignment horizontal="left" vertical="center" indent="1"/>
    </xf>
    <xf numFmtId="3" fontId="4" fillId="9" borderId="12" xfId="0" applyNumberFormat="1" applyFont="1" applyFill="1" applyBorder="1" applyAlignment="1">
      <alignment horizontal="left" vertical="center" indent="1"/>
    </xf>
    <xf numFmtId="0" fontId="5" fillId="12" borderId="13" xfId="0" applyFont="1" applyFill="1" applyBorder="1" applyAlignment="1">
      <alignment horizontal="left" vertical="center" indent="1"/>
    </xf>
    <xf numFmtId="0" fontId="4" fillId="11" borderId="13" xfId="0" applyFont="1" applyFill="1" applyBorder="1" applyAlignment="1">
      <alignment horizontal="left" vertical="center" indent="1"/>
    </xf>
    <xf numFmtId="0" fontId="4" fillId="8" borderId="13" xfId="0" applyFont="1" applyFill="1" applyBorder="1" applyAlignment="1">
      <alignment horizontal="left" vertical="center" indent="1"/>
    </xf>
    <xf numFmtId="10" fontId="1" fillId="8" borderId="13" xfId="0" applyNumberFormat="1" applyFont="1" applyFill="1" applyBorder="1" applyAlignment="1">
      <alignment horizontal="left" vertical="center" indent="1"/>
    </xf>
    <xf numFmtId="0" fontId="4" fillId="8" borderId="13" xfId="0" applyFont="1" applyFill="1" applyBorder="1" applyAlignment="1">
      <alignment horizontal="left" vertical="center" wrapText="1" indent="1"/>
    </xf>
    <xf numFmtId="0" fontId="4" fillId="4" borderId="13" xfId="0" applyFont="1" applyFill="1" applyBorder="1" applyAlignment="1">
      <alignment horizontal="left" vertical="center" indent="1"/>
    </xf>
    <xf numFmtId="10" fontId="1" fillId="4" borderId="13" xfId="0" applyNumberFormat="1" applyFont="1" applyFill="1" applyBorder="1" applyAlignment="1">
      <alignment horizontal="left" vertical="center" indent="1"/>
    </xf>
    <xf numFmtId="0" fontId="4" fillId="4" borderId="13" xfId="0" applyFont="1" applyFill="1" applyBorder="1" applyAlignment="1">
      <alignment horizontal="left" vertical="center" wrapText="1" indent="1"/>
    </xf>
    <xf numFmtId="0" fontId="4" fillId="3" borderId="13" xfId="0" applyFont="1" applyFill="1" applyBorder="1" applyAlignment="1">
      <alignment horizontal="left" vertical="center" indent="1"/>
    </xf>
    <xf numFmtId="10" fontId="1" fillId="3" borderId="13" xfId="0" applyNumberFormat="1" applyFont="1" applyFill="1" applyBorder="1" applyAlignment="1">
      <alignment horizontal="left" vertical="center" indent="1"/>
    </xf>
    <xf numFmtId="0" fontId="4" fillId="3" borderId="13" xfId="0" applyFont="1" applyFill="1" applyBorder="1" applyAlignment="1">
      <alignment horizontal="left" vertical="center" wrapText="1" indent="1"/>
    </xf>
    <xf numFmtId="0" fontId="4" fillId="3" borderId="17" xfId="0" applyFont="1" applyFill="1" applyBorder="1" applyAlignment="1">
      <alignment horizontal="left" vertical="center" indent="1"/>
    </xf>
    <xf numFmtId="10" fontId="1" fillId="3" borderId="17" xfId="0" applyNumberFormat="1" applyFont="1" applyFill="1" applyBorder="1" applyAlignment="1">
      <alignment horizontal="left" vertical="center" indent="1"/>
    </xf>
    <xf numFmtId="0" fontId="4" fillId="3" borderId="17" xfId="0" applyFont="1" applyFill="1" applyBorder="1" applyAlignment="1">
      <alignment horizontal="left" vertical="center" wrapText="1" indent="1"/>
    </xf>
    <xf numFmtId="0" fontId="4" fillId="11" borderId="17" xfId="0" applyFont="1" applyFill="1" applyBorder="1" applyAlignment="1">
      <alignment horizontal="left" vertical="center" indent="1"/>
    </xf>
    <xf numFmtId="0" fontId="1" fillId="0"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2" fillId="0" borderId="4" xfId="0" applyFont="1" applyFill="1" applyBorder="1" applyAlignment="1">
      <alignment horizontal="left" vertical="center" indent="1"/>
    </xf>
    <xf numFmtId="10" fontId="4" fillId="0" borderId="4" xfId="0" applyNumberFormat="1" applyFont="1" applyFill="1" applyBorder="1" applyAlignment="1">
      <alignment horizontal="left" vertical="center" indent="1"/>
    </xf>
    <xf numFmtId="0" fontId="8" fillId="12" borderId="0" xfId="0" applyFont="1" applyFill="1" applyBorder="1" applyAlignment="1">
      <alignment horizontal="left" vertical="center" indent="1"/>
    </xf>
    <xf numFmtId="0" fontId="3" fillId="0" borderId="12" xfId="0" applyFont="1" applyFill="1" applyBorder="1" applyAlignment="1">
      <alignment horizontal="left" vertical="center" wrapText="1" indent="1"/>
    </xf>
    <xf numFmtId="164" fontId="4" fillId="4" borderId="12" xfId="0" applyNumberFormat="1" applyFont="1" applyFill="1" applyBorder="1" applyAlignment="1">
      <alignment horizontal="left" vertical="center" wrapText="1" indent="1"/>
    </xf>
    <xf numFmtId="10" fontId="4" fillId="4" borderId="12" xfId="0" applyNumberFormat="1" applyFont="1" applyFill="1" applyBorder="1" applyAlignment="1">
      <alignment horizontal="left" vertical="center" wrapText="1" indent="1"/>
    </xf>
    <xf numFmtId="10" fontId="4" fillId="4" borderId="12" xfId="0" applyNumberFormat="1" applyFont="1" applyFill="1" applyBorder="1" applyAlignment="1">
      <alignment horizontal="left" vertical="center" indent="1"/>
    </xf>
    <xf numFmtId="10" fontId="5" fillId="4" borderId="12" xfId="0" applyNumberFormat="1" applyFont="1" applyFill="1" applyBorder="1" applyAlignment="1">
      <alignment horizontal="left" vertical="center" wrapText="1" indent="1"/>
    </xf>
    <xf numFmtId="10" fontId="5" fillId="7" borderId="12" xfId="0" applyNumberFormat="1" applyFont="1" applyFill="1" applyBorder="1" applyAlignment="1">
      <alignment horizontal="left" vertical="center" wrapText="1" indent="1"/>
    </xf>
    <xf numFmtId="0" fontId="4" fillId="0" borderId="2" xfId="0" applyFont="1" applyBorder="1" applyAlignment="1">
      <alignment horizontal="left" vertical="center" indent="1"/>
    </xf>
    <xf numFmtId="10" fontId="4" fillId="9" borderId="12" xfId="0" applyNumberFormat="1" applyFont="1" applyFill="1" applyBorder="1" applyAlignment="1">
      <alignment horizontal="left" vertical="center" indent="1"/>
    </xf>
    <xf numFmtId="0" fontId="7" fillId="0" borderId="0" xfId="0" applyFont="1"/>
    <xf numFmtId="10" fontId="5" fillId="9" borderId="12" xfId="0" applyNumberFormat="1" applyFont="1" applyFill="1" applyBorder="1" applyAlignment="1">
      <alignment horizontal="left" vertical="center" indent="1"/>
    </xf>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5D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5595-4B83-4621-8B11-D7CB05E56AF9}">
  <dimension ref="A1:R191"/>
  <sheetViews>
    <sheetView tabSelected="1" topLeftCell="D1" zoomScale="160" zoomScaleNormal="160" workbookViewId="0">
      <pane ySplit="10" topLeftCell="A178" activePane="bottomLeft" state="frozen"/>
      <selection pane="bottomLeft" activeCell="C9" sqref="C9"/>
    </sheetView>
  </sheetViews>
  <sheetFormatPr defaultRowHeight="15" customHeight="1" x14ac:dyDescent="0.45"/>
  <cols>
    <col min="1" max="1" width="1.73046875" style="46" customWidth="1"/>
    <col min="2" max="2" width="44.19921875" style="46" customWidth="1"/>
    <col min="3" max="3" width="21.265625" style="46" customWidth="1"/>
    <col min="4" max="4" width="34.9296875" style="46" customWidth="1"/>
    <col min="5" max="14" width="12" style="46" customWidth="1"/>
    <col min="15" max="15" width="1.6640625" style="46" customWidth="1"/>
    <col min="16" max="16" width="14.46484375" style="46" customWidth="1"/>
    <col min="17" max="17" width="1.53125" style="46" customWidth="1"/>
    <col min="18" max="18" width="14.86328125" style="46" bestFit="1" customWidth="1"/>
    <col min="19" max="19" width="9.06640625" style="46" customWidth="1"/>
    <col min="20" max="16384" width="9.06640625" style="46"/>
  </cols>
  <sheetData>
    <row r="1" spans="1:15" ht="15" customHeight="1" x14ac:dyDescent="0.45">
      <c r="A1" s="23"/>
      <c r="B1" s="23"/>
      <c r="C1" s="23"/>
      <c r="D1" s="23"/>
      <c r="E1" s="23"/>
      <c r="F1" s="23"/>
      <c r="G1" s="23"/>
      <c r="H1" s="23"/>
      <c r="I1" s="23"/>
      <c r="J1" s="23"/>
      <c r="K1" s="23"/>
      <c r="L1" s="23"/>
      <c r="M1" s="23"/>
      <c r="N1" s="23"/>
    </row>
    <row r="2" spans="1:15" ht="45" customHeight="1" x14ac:dyDescent="0.45">
      <c r="B2" s="70" t="s">
        <v>32</v>
      </c>
      <c r="C2" s="107"/>
      <c r="D2" s="23"/>
      <c r="E2" s="81" t="s">
        <v>33</v>
      </c>
      <c r="F2" s="81"/>
      <c r="G2" s="81"/>
      <c r="H2" s="81"/>
      <c r="I2" s="81"/>
      <c r="J2" s="81"/>
      <c r="K2" s="81"/>
      <c r="L2" s="81"/>
      <c r="M2" s="81"/>
      <c r="N2" s="81"/>
    </row>
    <row r="3" spans="1:15" ht="15" customHeight="1" x14ac:dyDescent="0.45">
      <c r="B3" s="108" t="s">
        <v>3</v>
      </c>
      <c r="C3" s="109">
        <v>100000</v>
      </c>
      <c r="D3" s="28"/>
      <c r="E3" s="81"/>
      <c r="F3" s="81"/>
      <c r="G3" s="81"/>
      <c r="H3" s="81"/>
      <c r="I3" s="81"/>
      <c r="J3" s="81"/>
      <c r="K3" s="81"/>
      <c r="L3" s="81"/>
      <c r="M3" s="81"/>
      <c r="N3" s="81"/>
    </row>
    <row r="4" spans="1:15" ht="15" customHeight="1" x14ac:dyDescent="0.45">
      <c r="B4" s="58" t="s">
        <v>68</v>
      </c>
      <c r="C4" s="110">
        <v>0.01</v>
      </c>
      <c r="D4" s="114"/>
      <c r="E4" s="81"/>
      <c r="F4" s="81"/>
      <c r="G4" s="81"/>
      <c r="H4" s="81"/>
      <c r="I4" s="81"/>
      <c r="J4" s="81"/>
      <c r="K4" s="81"/>
      <c r="L4" s="81"/>
      <c r="M4" s="81"/>
      <c r="N4" s="81"/>
    </row>
    <row r="5" spans="1:15" ht="15" customHeight="1" x14ac:dyDescent="0.45">
      <c r="B5" s="58" t="s">
        <v>67</v>
      </c>
      <c r="C5" s="111">
        <v>0.3</v>
      </c>
      <c r="D5" s="114"/>
      <c r="E5" s="81"/>
      <c r="F5" s="81"/>
      <c r="G5" s="81"/>
      <c r="H5" s="81"/>
      <c r="I5" s="81"/>
      <c r="J5" s="81"/>
      <c r="K5" s="81"/>
      <c r="L5" s="81"/>
      <c r="M5" s="81"/>
      <c r="N5" s="81"/>
    </row>
    <row r="6" spans="1:15" ht="15" customHeight="1" x14ac:dyDescent="0.45">
      <c r="B6" s="108" t="s">
        <v>4</v>
      </c>
      <c r="C6" s="112">
        <v>0.55000000000000004</v>
      </c>
      <c r="D6" s="28"/>
      <c r="E6" s="81"/>
      <c r="F6" s="81"/>
      <c r="G6" s="81"/>
      <c r="H6" s="81"/>
      <c r="I6" s="81"/>
      <c r="J6" s="81"/>
      <c r="K6" s="81"/>
      <c r="L6" s="81"/>
      <c r="M6" s="81"/>
      <c r="N6" s="81"/>
    </row>
    <row r="7" spans="1:15" ht="15" customHeight="1" x14ac:dyDescent="0.45">
      <c r="B7" s="108" t="s">
        <v>5</v>
      </c>
      <c r="C7" s="112">
        <v>0.15</v>
      </c>
      <c r="D7" s="28"/>
    </row>
    <row r="8" spans="1:15" ht="15" customHeight="1" x14ac:dyDescent="0.45">
      <c r="B8" s="108" t="s">
        <v>6</v>
      </c>
      <c r="C8" s="112">
        <v>0.4</v>
      </c>
      <c r="D8" s="28"/>
      <c r="E8" s="48" t="s">
        <v>30</v>
      </c>
      <c r="F8" s="49"/>
      <c r="G8" s="49"/>
      <c r="H8" s="49"/>
      <c r="I8" s="49"/>
      <c r="J8" s="49"/>
      <c r="K8" s="49"/>
      <c r="L8" s="49"/>
      <c r="M8" s="49"/>
      <c r="N8" s="49"/>
    </row>
    <row r="9" spans="1:15" ht="15" customHeight="1" x14ac:dyDescent="0.45">
      <c r="B9" s="108" t="s">
        <v>22</v>
      </c>
      <c r="C9" s="113">
        <f>SUM(C6:C8)</f>
        <v>1.1000000000000001</v>
      </c>
      <c r="D9" s="28"/>
      <c r="E9" s="50" t="s">
        <v>25</v>
      </c>
      <c r="F9" s="51">
        <v>314.25</v>
      </c>
      <c r="G9" s="50" t="s">
        <v>28</v>
      </c>
      <c r="H9" s="52">
        <v>42005</v>
      </c>
      <c r="I9" s="50" t="s">
        <v>26</v>
      </c>
      <c r="J9" s="51">
        <v>94443.520000000004</v>
      </c>
      <c r="K9" s="50" t="s">
        <v>29</v>
      </c>
      <c r="L9" s="52">
        <v>45658</v>
      </c>
      <c r="M9" s="79" t="s">
        <v>27</v>
      </c>
      <c r="N9" s="80">
        <f>(J9/F9)^(1/DATEDIF(H9,L9,"Y"))-1</f>
        <v>0.76925197017405411</v>
      </c>
    </row>
    <row r="10" spans="1:15" ht="15" customHeight="1" x14ac:dyDescent="0.45">
      <c r="A10" s="23"/>
      <c r="B10" s="7"/>
      <c r="C10" s="7"/>
      <c r="D10" s="23"/>
      <c r="E10" s="2"/>
      <c r="F10" s="2"/>
      <c r="G10" s="23"/>
      <c r="H10" s="23"/>
      <c r="I10" s="23"/>
      <c r="J10" s="23"/>
      <c r="K10" s="23"/>
      <c r="L10" s="23"/>
      <c r="M10" s="23"/>
      <c r="N10" s="23"/>
      <c r="O10" s="23"/>
    </row>
    <row r="11" spans="1:15" ht="45" customHeight="1" x14ac:dyDescent="0.45">
      <c r="B11" s="88" t="s">
        <v>31</v>
      </c>
      <c r="C11" s="88"/>
      <c r="D11" s="88"/>
      <c r="E11" s="89" t="s">
        <v>7</v>
      </c>
      <c r="F11" s="89" t="s">
        <v>8</v>
      </c>
      <c r="G11" s="89" t="s">
        <v>9</v>
      </c>
      <c r="H11" s="89" t="s">
        <v>10</v>
      </c>
      <c r="I11" s="89" t="s">
        <v>11</v>
      </c>
      <c r="J11" s="89" t="s">
        <v>12</v>
      </c>
      <c r="K11" s="89" t="s">
        <v>13</v>
      </c>
      <c r="L11" s="89" t="s">
        <v>14</v>
      </c>
      <c r="M11" s="89" t="s">
        <v>15</v>
      </c>
      <c r="N11" s="89" t="s">
        <v>16</v>
      </c>
    </row>
    <row r="12" spans="1:15" ht="15" customHeight="1" x14ac:dyDescent="0.45">
      <c r="B12" s="71" t="s">
        <v>58</v>
      </c>
      <c r="C12" s="71"/>
      <c r="D12" s="60" t="s">
        <v>59</v>
      </c>
      <c r="E12" s="62">
        <f>($C$3 * $C$5) + $C$3</f>
        <v>130000</v>
      </c>
      <c r="F12" s="62">
        <f>(E12 * $C$5) + E12</f>
        <v>169000</v>
      </c>
      <c r="G12" s="62">
        <f>(F12 * $C$5) + F12</f>
        <v>219700</v>
      </c>
      <c r="H12" s="62">
        <f>(G12 * $C$5) + G12</f>
        <v>285610</v>
      </c>
      <c r="I12" s="62">
        <f>(H12 * $C$5) + H12</f>
        <v>371293</v>
      </c>
      <c r="J12" s="62">
        <f>(I12 * $C$5) + I12</f>
        <v>482680.9</v>
      </c>
      <c r="K12" s="62">
        <f>(J12 * $C$5) + J12</f>
        <v>627485.17000000004</v>
      </c>
      <c r="L12" s="62">
        <f>(K12 * $C$5) + K12</f>
        <v>815730.72100000002</v>
      </c>
      <c r="M12" s="62">
        <f>(L12 * $C$5) + L12</f>
        <v>1060449.9373000001</v>
      </c>
      <c r="N12" s="62">
        <f>(M12 * $C$5) + M12</f>
        <v>1378584.9184900001</v>
      </c>
    </row>
    <row r="13" spans="1:15" ht="15" customHeight="1" x14ac:dyDescent="0.45">
      <c r="B13" s="72"/>
      <c r="C13" s="72"/>
      <c r="D13" s="60" t="s">
        <v>60</v>
      </c>
      <c r="E13" s="73">
        <f>E12*21000000</f>
        <v>2730000000000</v>
      </c>
      <c r="F13" s="73">
        <f t="shared" ref="F13:N13" si="0">F12*21000000</f>
        <v>3549000000000</v>
      </c>
      <c r="G13" s="73">
        <f t="shared" si="0"/>
        <v>4613700000000</v>
      </c>
      <c r="H13" s="73">
        <f t="shared" si="0"/>
        <v>5997810000000</v>
      </c>
      <c r="I13" s="73">
        <f t="shared" si="0"/>
        <v>7797153000000</v>
      </c>
      <c r="J13" s="73">
        <f t="shared" si="0"/>
        <v>10136298900000</v>
      </c>
      <c r="K13" s="73">
        <f t="shared" si="0"/>
        <v>13177188570000</v>
      </c>
      <c r="L13" s="73">
        <f t="shared" si="0"/>
        <v>17130345141000</v>
      </c>
      <c r="M13" s="73">
        <f t="shared" si="0"/>
        <v>22269448683300.004</v>
      </c>
      <c r="N13" s="73">
        <f t="shared" si="0"/>
        <v>28950283288290</v>
      </c>
    </row>
    <row r="14" spans="1:15" ht="15" customHeight="1" x14ac:dyDescent="0.45">
      <c r="B14" s="71" t="s">
        <v>40</v>
      </c>
      <c r="C14" s="75"/>
      <c r="D14" s="60" t="s">
        <v>44</v>
      </c>
      <c r="E14" s="78">
        <f>(E12-$C$3)/E12</f>
        <v>0.23076923076923078</v>
      </c>
      <c r="F14" s="78">
        <f>(F12-$C$3)/F12</f>
        <v>0.40828402366863903</v>
      </c>
      <c r="G14" s="78">
        <f>(G12-$C$3)/G12</f>
        <v>0.54483386436049153</v>
      </c>
      <c r="H14" s="78">
        <f>(H12-$C$3)/H12</f>
        <v>0.64987220335422424</v>
      </c>
      <c r="I14" s="78">
        <f>(I12-$C$3)/I12</f>
        <v>0.73067092565709557</v>
      </c>
      <c r="J14" s="78">
        <f>(J12-$C$3)/J12</f>
        <v>0.79282378896699668</v>
      </c>
      <c r="K14" s="78">
        <f>(K12-$C$3)/K12</f>
        <v>0.84063368382076664</v>
      </c>
      <c r="L14" s="78">
        <f>(L12-$C$3)/L12</f>
        <v>0.87741052601597436</v>
      </c>
      <c r="M14" s="78">
        <f>(M12-$C$3)/M12</f>
        <v>0.90570040462767254</v>
      </c>
      <c r="N14" s="78">
        <f>(N12-$C$3)/N12</f>
        <v>0.92746184971359424</v>
      </c>
    </row>
    <row r="15" spans="1:15" ht="15" customHeight="1" x14ac:dyDescent="0.45">
      <c r="B15" s="74"/>
      <c r="C15" s="76"/>
      <c r="D15" s="60" t="s">
        <v>57</v>
      </c>
      <c r="E15" s="78">
        <f>1-E14</f>
        <v>0.76923076923076916</v>
      </c>
      <c r="F15" s="78">
        <f t="shared" ref="F15:N15" si="1">1-F14</f>
        <v>0.59171597633136097</v>
      </c>
      <c r="G15" s="78">
        <f t="shared" si="1"/>
        <v>0.45516613563950847</v>
      </c>
      <c r="H15" s="78">
        <f t="shared" si="1"/>
        <v>0.35012779664577576</v>
      </c>
      <c r="I15" s="78">
        <f t="shared" si="1"/>
        <v>0.26932907434290443</v>
      </c>
      <c r="J15" s="78">
        <f t="shared" si="1"/>
        <v>0.20717621103300332</v>
      </c>
      <c r="K15" s="78">
        <f t="shared" si="1"/>
        <v>0.15936631617923336</v>
      </c>
      <c r="L15" s="78">
        <f t="shared" si="1"/>
        <v>0.12258947398402564</v>
      </c>
      <c r="M15" s="78">
        <f t="shared" si="1"/>
        <v>9.429959537232746E-2</v>
      </c>
      <c r="N15" s="78">
        <f t="shared" si="1"/>
        <v>7.2538150286405756E-2</v>
      </c>
    </row>
    <row r="16" spans="1:15" ht="15" customHeight="1" x14ac:dyDescent="0.45">
      <c r="B16" s="74"/>
      <c r="C16" s="76"/>
      <c r="D16" s="55" t="s">
        <v>42</v>
      </c>
      <c r="E16" s="57">
        <f>E14</f>
        <v>0.23076923076923078</v>
      </c>
      <c r="F16" s="57">
        <f>F14-E14</f>
        <v>0.17751479289940825</v>
      </c>
      <c r="G16" s="57">
        <f>G14-F14</f>
        <v>0.1365498406918525</v>
      </c>
      <c r="H16" s="57">
        <f t="shared" ref="H16:N16" si="2">H14-G14</f>
        <v>0.10503833899373272</v>
      </c>
      <c r="I16" s="57">
        <f t="shared" si="2"/>
        <v>8.0798722302871329E-2</v>
      </c>
      <c r="J16" s="57">
        <f t="shared" si="2"/>
        <v>6.2152863309901107E-2</v>
      </c>
      <c r="K16" s="57">
        <f t="shared" si="2"/>
        <v>4.7809894853769963E-2</v>
      </c>
      <c r="L16" s="57">
        <f t="shared" si="2"/>
        <v>3.6776842195207715E-2</v>
      </c>
      <c r="M16" s="57">
        <f t="shared" si="2"/>
        <v>2.8289878611698183E-2</v>
      </c>
      <c r="N16" s="57">
        <f t="shared" si="2"/>
        <v>2.1761445085921705E-2</v>
      </c>
    </row>
    <row r="17" spans="1:18" ht="15" customHeight="1" x14ac:dyDescent="0.45">
      <c r="B17" s="72"/>
      <c r="C17" s="77"/>
      <c r="D17" s="55" t="s">
        <v>43</v>
      </c>
      <c r="E17" s="57"/>
      <c r="F17" s="57"/>
      <c r="G17" s="57"/>
      <c r="H17" s="57"/>
      <c r="I17" s="57">
        <f>SUM(E16:I16)/5</f>
        <v>0.14613418513141913</v>
      </c>
      <c r="J17" s="56"/>
      <c r="K17" s="56"/>
      <c r="L17" s="56"/>
      <c r="M17" s="56"/>
      <c r="N17" s="57">
        <f>SUM(E16:N16)/10</f>
        <v>9.2746184971359419E-2</v>
      </c>
    </row>
    <row r="18" spans="1:18" ht="15" customHeight="1" x14ac:dyDescent="0.45">
      <c r="B18" s="71" t="s">
        <v>41</v>
      </c>
      <c r="C18" s="75"/>
      <c r="D18" s="55" t="s">
        <v>62</v>
      </c>
      <c r="E18" s="57">
        <f>$C$4*2</f>
        <v>0.02</v>
      </c>
      <c r="F18" s="57">
        <f>$C$4*2</f>
        <v>0.02</v>
      </c>
      <c r="G18" s="57">
        <f>$C$4*2</f>
        <v>0.02</v>
      </c>
      <c r="H18" s="57">
        <f>$C$4*2</f>
        <v>0.02</v>
      </c>
      <c r="I18" s="57">
        <f>$C$4*2</f>
        <v>0.02</v>
      </c>
      <c r="J18" s="57">
        <f>$C$4*2</f>
        <v>0.02</v>
      </c>
      <c r="K18" s="57">
        <f>$C$4*2</f>
        <v>0.02</v>
      </c>
      <c r="L18" s="57">
        <f>$C$4*2</f>
        <v>0.02</v>
      </c>
      <c r="M18" s="57">
        <f>$C$4*2</f>
        <v>0.02</v>
      </c>
      <c r="N18" s="57">
        <f>$C$4*2</f>
        <v>0.02</v>
      </c>
    </row>
    <row r="19" spans="1:18" ht="15" customHeight="1" x14ac:dyDescent="0.45">
      <c r="B19" s="72"/>
      <c r="C19" s="77"/>
      <c r="D19" s="55" t="s">
        <v>61</v>
      </c>
      <c r="E19" s="57">
        <f>E18</f>
        <v>0.02</v>
      </c>
      <c r="F19" s="57">
        <f>E19+F18</f>
        <v>0.04</v>
      </c>
      <c r="G19" s="57">
        <f t="shared" ref="G19:N19" si="3">F19+G18</f>
        <v>0.06</v>
      </c>
      <c r="H19" s="57">
        <f t="shared" si="3"/>
        <v>0.08</v>
      </c>
      <c r="I19" s="57">
        <f t="shared" si="3"/>
        <v>0.1</v>
      </c>
      <c r="J19" s="57">
        <f t="shared" si="3"/>
        <v>0.12000000000000001</v>
      </c>
      <c r="K19" s="57">
        <f t="shared" si="3"/>
        <v>0.14000000000000001</v>
      </c>
      <c r="L19" s="57">
        <f t="shared" si="3"/>
        <v>0.16</v>
      </c>
      <c r="M19" s="57">
        <f t="shared" si="3"/>
        <v>0.18</v>
      </c>
      <c r="N19" s="57">
        <f t="shared" si="3"/>
        <v>0.19999999999999998</v>
      </c>
    </row>
    <row r="20" spans="1:18" ht="15" customHeight="1" x14ac:dyDescent="0.45">
      <c r="A20" s="54"/>
      <c r="B20" s="103"/>
      <c r="C20" s="103"/>
      <c r="D20" s="105"/>
      <c r="E20" s="106"/>
      <c r="F20" s="106"/>
      <c r="G20" s="106"/>
      <c r="H20" s="106"/>
      <c r="I20" s="106"/>
      <c r="J20" s="106"/>
      <c r="K20" s="106"/>
      <c r="L20" s="106"/>
      <c r="M20" s="106"/>
      <c r="N20" s="106"/>
      <c r="O20" s="54"/>
    </row>
    <row r="21" spans="1:18" ht="45" customHeight="1" x14ac:dyDescent="0.45">
      <c r="B21" s="90" t="s">
        <v>21</v>
      </c>
      <c r="C21" s="91"/>
      <c r="D21" s="92" t="str">
        <f>"Yield Allocation = "&amp;$C$6*100&amp;"%"&amp;CHAR(10) &amp; "Test Case = 10 BTC / "&amp;TEXT($C$3*10, "$###0.00,,")&amp;"M USD"</f>
        <v>Yield Allocation = 55%
Test Case = 10 BTC / $1.00M USD</v>
      </c>
      <c r="E21" s="89" t="s">
        <v>7</v>
      </c>
      <c r="F21" s="89" t="s">
        <v>8</v>
      </c>
      <c r="G21" s="89" t="s">
        <v>9</v>
      </c>
      <c r="H21" s="89" t="s">
        <v>10</v>
      </c>
      <c r="I21" s="89" t="s">
        <v>11</v>
      </c>
      <c r="J21" s="89" t="s">
        <v>12</v>
      </c>
      <c r="K21" s="89" t="s">
        <v>13</v>
      </c>
      <c r="L21" s="89" t="s">
        <v>14</v>
      </c>
      <c r="M21" s="89" t="s">
        <v>15</v>
      </c>
      <c r="N21" s="89" t="s">
        <v>16</v>
      </c>
    </row>
    <row r="22" spans="1:18" ht="15" customHeight="1" x14ac:dyDescent="0.45">
      <c r="B22" s="59" t="s">
        <v>40</v>
      </c>
      <c r="C22" s="67" t="s">
        <v>37</v>
      </c>
      <c r="D22" s="55" t="s">
        <v>42</v>
      </c>
      <c r="E22" s="56">
        <f>E$16*$C$6</f>
        <v>0.12692307692307694</v>
      </c>
      <c r="F22" s="56">
        <f>F$16*$C$6</f>
        <v>9.7633136094674541E-2</v>
      </c>
      <c r="G22" s="56">
        <f>G$16*$C$6</f>
        <v>7.5102412380518874E-2</v>
      </c>
      <c r="H22" s="56">
        <f>H$16*$C$6</f>
        <v>5.7771086446552995E-2</v>
      </c>
      <c r="I22" s="56">
        <f>I$16*$C$6</f>
        <v>4.4439297266579234E-2</v>
      </c>
      <c r="J22" s="56">
        <f>J$16*$C$6</f>
        <v>3.4184074820445609E-2</v>
      </c>
      <c r="K22" s="56">
        <f>K$16*$C$6</f>
        <v>2.6295442169573482E-2</v>
      </c>
      <c r="L22" s="56">
        <f>L$16*$C$6</f>
        <v>2.0227263207364246E-2</v>
      </c>
      <c r="M22" s="56">
        <f>M$16*$C$6</f>
        <v>1.5559433236434002E-2</v>
      </c>
      <c r="N22" s="56">
        <f>N$16*$C$6</f>
        <v>1.1968794797256939E-2</v>
      </c>
    </row>
    <row r="23" spans="1:18" ht="15" customHeight="1" x14ac:dyDescent="0.45">
      <c r="B23" s="59"/>
      <c r="C23" s="67"/>
      <c r="D23" s="55" t="s">
        <v>43</v>
      </c>
      <c r="E23" s="56"/>
      <c r="F23" s="56"/>
      <c r="G23" s="56"/>
      <c r="H23" s="56"/>
      <c r="I23" s="57">
        <f>SUM(E22:I22)/5</f>
        <v>8.0373801822280516E-2</v>
      </c>
      <c r="J23" s="56"/>
      <c r="K23" s="56"/>
      <c r="L23" s="56"/>
      <c r="M23" s="56"/>
      <c r="N23" s="57">
        <f>SUM(E22:N22)/10</f>
        <v>5.1010401734247687E-2</v>
      </c>
    </row>
    <row r="24" spans="1:18" ht="15" customHeight="1" x14ac:dyDescent="0.45">
      <c r="B24" s="59"/>
      <c r="C24" s="67"/>
      <c r="D24" s="55" t="s">
        <v>44</v>
      </c>
      <c r="E24" s="56">
        <f>E$14*$C$6</f>
        <v>0.12692307692307694</v>
      </c>
      <c r="F24" s="56">
        <f>F$14*$C$6</f>
        <v>0.22455621301775147</v>
      </c>
      <c r="G24" s="56">
        <f>G$14*$C$6</f>
        <v>0.29965862539827037</v>
      </c>
      <c r="H24" s="56">
        <f>H$14*$C$6</f>
        <v>0.35742971184482336</v>
      </c>
      <c r="I24" s="56">
        <f>I$14*$C$6</f>
        <v>0.40186900911140261</v>
      </c>
      <c r="J24" s="56">
        <f>J$14*$C$6</f>
        <v>0.43605308393184822</v>
      </c>
      <c r="K24" s="56">
        <f>K$14*$C$6</f>
        <v>0.46234852610142169</v>
      </c>
      <c r="L24" s="56">
        <f>L$14*$C$6</f>
        <v>0.48257578930878592</v>
      </c>
      <c r="M24" s="56">
        <f>M$14*$C$6</f>
        <v>0.49813522254521991</v>
      </c>
      <c r="N24" s="56">
        <f>N$14*$C$6</f>
        <v>0.5101040173424769</v>
      </c>
    </row>
    <row r="25" spans="1:18" ht="15" customHeight="1" x14ac:dyDescent="0.45">
      <c r="B25" s="59"/>
      <c r="C25" s="59"/>
      <c r="D25" s="60" t="s">
        <v>47</v>
      </c>
      <c r="E25" s="61">
        <f>10*E22</f>
        <v>1.2692307692307694</v>
      </c>
      <c r="F25" s="61">
        <f t="shared" ref="F25:N25" si="4">10*F22</f>
        <v>0.97633136094674544</v>
      </c>
      <c r="G25" s="61">
        <f t="shared" si="4"/>
        <v>0.75102412380518868</v>
      </c>
      <c r="H25" s="61">
        <f t="shared" si="4"/>
        <v>0.57771086446552999</v>
      </c>
      <c r="I25" s="61">
        <f t="shared" si="4"/>
        <v>0.44439297266579236</v>
      </c>
      <c r="J25" s="61">
        <f t="shared" si="4"/>
        <v>0.34184074820445609</v>
      </c>
      <c r="K25" s="61">
        <f t="shared" si="4"/>
        <v>0.2629544216957348</v>
      </c>
      <c r="L25" s="61">
        <f t="shared" si="4"/>
        <v>0.20227263207364246</v>
      </c>
      <c r="M25" s="61">
        <f t="shared" si="4"/>
        <v>0.15559433236434</v>
      </c>
      <c r="N25" s="61">
        <f t="shared" si="4"/>
        <v>0.11968794797256939</v>
      </c>
      <c r="R25" s="42"/>
    </row>
    <row r="26" spans="1:18" ht="15" customHeight="1" x14ac:dyDescent="0.45">
      <c r="B26" s="59"/>
      <c r="C26" s="59"/>
      <c r="D26" s="60" t="s">
        <v>48</v>
      </c>
      <c r="E26" s="61">
        <f>10*E24</f>
        <v>1.2692307692307694</v>
      </c>
      <c r="F26" s="61">
        <f>10*F24</f>
        <v>2.2455621301775146</v>
      </c>
      <c r="G26" s="61">
        <f>10*G24</f>
        <v>2.996586253982704</v>
      </c>
      <c r="H26" s="61">
        <f t="shared" ref="H26:N26" si="5">10*H24</f>
        <v>3.5742971184482335</v>
      </c>
      <c r="I26" s="61">
        <f t="shared" si="5"/>
        <v>4.018690091114026</v>
      </c>
      <c r="J26" s="61">
        <f t="shared" si="5"/>
        <v>4.3605308393184821</v>
      </c>
      <c r="K26" s="61">
        <f t="shared" si="5"/>
        <v>4.623485261014217</v>
      </c>
      <c r="L26" s="61">
        <f t="shared" si="5"/>
        <v>4.8257578930878591</v>
      </c>
      <c r="M26" s="61">
        <f t="shared" si="5"/>
        <v>4.9813522254521994</v>
      </c>
      <c r="N26" s="61">
        <f t="shared" si="5"/>
        <v>5.101040173424769</v>
      </c>
      <c r="R26" s="42"/>
    </row>
    <row r="27" spans="1:18" ht="15" customHeight="1" x14ac:dyDescent="0.45">
      <c r="B27" s="59"/>
      <c r="C27" s="67" t="s">
        <v>38</v>
      </c>
      <c r="D27" s="55" t="s">
        <v>45</v>
      </c>
      <c r="E27" s="56">
        <f>E22*E$12/$C$3</f>
        <v>0.16500000000000004</v>
      </c>
      <c r="F27" s="56">
        <f>F22*F$12/$C$3</f>
        <v>0.16499999999999995</v>
      </c>
      <c r="G27" s="56">
        <f>G22*G$12/$C$3</f>
        <v>0.16499999999999995</v>
      </c>
      <c r="H27" s="56">
        <f>H22*H$12/$C$3</f>
        <v>0.16500000000000001</v>
      </c>
      <c r="I27" s="117">
        <f>I22*I$12/$C$3</f>
        <v>0.16500000000000004</v>
      </c>
      <c r="J27" s="56">
        <f>J22*J$12/$C$3</f>
        <v>0.16500000000000026</v>
      </c>
      <c r="K27" s="56">
        <f>K22*K$12/$C$3</f>
        <v>0.16499999999999984</v>
      </c>
      <c r="L27" s="56">
        <f>L22*L$12/$C$3</f>
        <v>0.16500000000000012</v>
      </c>
      <c r="M27" s="56">
        <f>M22*M$12/$C$3</f>
        <v>0.16499999999999976</v>
      </c>
      <c r="N27" s="56">
        <f>N22*N$12/$C$3</f>
        <v>0.16499999999999992</v>
      </c>
    </row>
    <row r="28" spans="1:18" ht="15" customHeight="1" x14ac:dyDescent="0.45">
      <c r="B28" s="59"/>
      <c r="C28" s="59"/>
      <c r="D28" s="60" t="s">
        <v>49</v>
      </c>
      <c r="E28" s="62">
        <f>E25*E$12</f>
        <v>165000.00000000003</v>
      </c>
      <c r="F28" s="62">
        <f>F25*F$12</f>
        <v>164999.99999999997</v>
      </c>
      <c r="G28" s="62">
        <f>G25*G$12</f>
        <v>164999.99999999994</v>
      </c>
      <c r="H28" s="62">
        <f>H25*H$12</f>
        <v>165000.00000000003</v>
      </c>
      <c r="I28" s="62">
        <f>I25*I$12</f>
        <v>165000.00000000006</v>
      </c>
      <c r="J28" s="62">
        <f>J25*J$12</f>
        <v>165000.00000000026</v>
      </c>
      <c r="K28" s="62">
        <f>K25*K$12</f>
        <v>164999.99999999985</v>
      </c>
      <c r="L28" s="62">
        <f>L25*L$12</f>
        <v>165000.00000000009</v>
      </c>
      <c r="M28" s="62">
        <f>M25*M$12</f>
        <v>164999.99999999974</v>
      </c>
      <c r="N28" s="62">
        <f>N25*N$12</f>
        <v>164999.99999999994</v>
      </c>
    </row>
    <row r="29" spans="1:18" ht="15" customHeight="1" x14ac:dyDescent="0.45">
      <c r="B29" s="59"/>
      <c r="C29" s="59"/>
      <c r="D29" s="60" t="s">
        <v>50</v>
      </c>
      <c r="E29" s="62">
        <f>E28</f>
        <v>165000.00000000003</v>
      </c>
      <c r="F29" s="62">
        <f>E29+F28</f>
        <v>330000</v>
      </c>
      <c r="G29" s="62">
        <f t="shared" ref="G29:N29" si="6">F29+G28</f>
        <v>494999.99999999994</v>
      </c>
      <c r="H29" s="62">
        <f t="shared" si="6"/>
        <v>660000</v>
      </c>
      <c r="I29" s="62">
        <f t="shared" si="6"/>
        <v>825000</v>
      </c>
      <c r="J29" s="62">
        <f t="shared" si="6"/>
        <v>990000.00000000023</v>
      </c>
      <c r="K29" s="62">
        <f t="shared" si="6"/>
        <v>1155000</v>
      </c>
      <c r="L29" s="62">
        <f t="shared" si="6"/>
        <v>1320000</v>
      </c>
      <c r="M29" s="62">
        <f t="shared" si="6"/>
        <v>1484999.9999999998</v>
      </c>
      <c r="N29" s="62">
        <f t="shared" si="6"/>
        <v>1649999.9999999998</v>
      </c>
    </row>
    <row r="30" spans="1:18" ht="15" customHeight="1" x14ac:dyDescent="0.45">
      <c r="B30" s="59"/>
      <c r="C30" s="67" t="s">
        <v>39</v>
      </c>
      <c r="D30" s="55" t="s">
        <v>45</v>
      </c>
      <c r="E30" s="56">
        <f>E24*E$12/$C$3</f>
        <v>0.16500000000000004</v>
      </c>
      <c r="F30" s="56">
        <f>F24*F$12/$C$3-E30</f>
        <v>0.21449999999999997</v>
      </c>
      <c r="G30" s="56">
        <f>G24*G$12/$C$3-F30-E30</f>
        <v>0.27884999999999999</v>
      </c>
      <c r="H30" s="56">
        <f>H24*H$12/$C$3-G30-F30-E30</f>
        <v>0.36250500000000008</v>
      </c>
      <c r="I30" s="56">
        <f>I24*I$12/$C$3-H30-G30-F30-E30</f>
        <v>0.47125650000000019</v>
      </c>
      <c r="J30" s="56">
        <f>J24*J$12/$C$3-I30-H30-G30-F30-E30</f>
        <v>0.61263345000000036</v>
      </c>
      <c r="K30" s="56">
        <f>K24*K$12/$C$3-J30-I30-H30-G30-F30-E30</f>
        <v>0.79642348499999982</v>
      </c>
      <c r="L30" s="56">
        <f>L24*L$12/$C$3-K30-J30-I30-H30-G30-F30-E30</f>
        <v>1.0353505305000006</v>
      </c>
      <c r="M30" s="56">
        <f>M24*M$12/$C$3-L30-K30-J30-I30-H30-G30-F30-E30</f>
        <v>1.3459556896499993</v>
      </c>
      <c r="N30" s="56">
        <f>N24*N$12/$C$3-M30-L30-K30-J30-I30-H30-G30-F30-E30</f>
        <v>1.7497423965450001</v>
      </c>
      <c r="R30" s="53"/>
    </row>
    <row r="31" spans="1:18" ht="15" customHeight="1" x14ac:dyDescent="0.45">
      <c r="B31" s="59"/>
      <c r="C31" s="67"/>
      <c r="D31" s="55" t="s">
        <v>46</v>
      </c>
      <c r="E31" s="57"/>
      <c r="F31" s="57"/>
      <c r="G31" s="57"/>
      <c r="H31" s="57"/>
      <c r="I31" s="115">
        <f>SUM(E30:I30)/5</f>
        <v>0.29842230000000003</v>
      </c>
      <c r="J31" s="57"/>
      <c r="K31" s="57"/>
      <c r="L31" s="57"/>
      <c r="M31" s="57"/>
      <c r="N31" s="57">
        <f>SUM(E30:N30)/10</f>
        <v>0.7032217051695</v>
      </c>
    </row>
    <row r="32" spans="1:18" ht="15" customHeight="1" x14ac:dyDescent="0.45">
      <c r="B32" s="59"/>
      <c r="C32" s="59"/>
      <c r="D32" s="60" t="s">
        <v>49</v>
      </c>
      <c r="E32" s="63">
        <f>E34</f>
        <v>165000.00000000003</v>
      </c>
      <c r="F32" s="63">
        <f>F34-E34</f>
        <v>214499.99999999991</v>
      </c>
      <c r="G32" s="63">
        <f t="shared" ref="G32:N32" si="7">G34-F34</f>
        <v>278850.00000000006</v>
      </c>
      <c r="H32" s="63">
        <f t="shared" si="7"/>
        <v>362505</v>
      </c>
      <c r="I32" s="63">
        <f t="shared" si="7"/>
        <v>471256.5</v>
      </c>
      <c r="J32" s="63">
        <f t="shared" si="7"/>
        <v>612633.45000000019</v>
      </c>
      <c r="K32" s="63">
        <f t="shared" si="7"/>
        <v>796423.48500000034</v>
      </c>
      <c r="L32" s="63">
        <f t="shared" si="7"/>
        <v>1035350.5304999999</v>
      </c>
      <c r="M32" s="63">
        <f t="shared" si="7"/>
        <v>1345955.6896500005</v>
      </c>
      <c r="N32" s="63">
        <f t="shared" si="7"/>
        <v>1749742.3965450004</v>
      </c>
    </row>
    <row r="33" spans="2:18" ht="15" customHeight="1" x14ac:dyDescent="0.45">
      <c r="B33" s="59"/>
      <c r="C33" s="59"/>
      <c r="D33" s="60" t="s">
        <v>51</v>
      </c>
      <c r="E33" s="63"/>
      <c r="F33" s="63"/>
      <c r="G33" s="63"/>
      <c r="H33" s="63"/>
      <c r="I33" s="63">
        <f>SUM(E32:I32)/5</f>
        <v>298422.3</v>
      </c>
      <c r="J33" s="63"/>
      <c r="K33" s="63"/>
      <c r="L33" s="63"/>
      <c r="M33" s="63"/>
      <c r="N33" s="63">
        <f>SUM(E32:N32)/10</f>
        <v>703221.70516950008</v>
      </c>
    </row>
    <row r="34" spans="2:18" ht="15" customHeight="1" x14ac:dyDescent="0.45">
      <c r="B34" s="59"/>
      <c r="C34" s="59"/>
      <c r="D34" s="60" t="s">
        <v>50</v>
      </c>
      <c r="E34" s="62">
        <f>E26*E$12</f>
        <v>165000.00000000003</v>
      </c>
      <c r="F34" s="62">
        <f>F26*F$12</f>
        <v>379499.99999999994</v>
      </c>
      <c r="G34" s="62">
        <f>G26*G$12</f>
        <v>658350</v>
      </c>
      <c r="H34" s="62">
        <f>H26*H$12</f>
        <v>1020855</v>
      </c>
      <c r="I34" s="62">
        <f>I26*I$12</f>
        <v>1492111.5</v>
      </c>
      <c r="J34" s="62">
        <f>J26*J$12</f>
        <v>2104744.9500000002</v>
      </c>
      <c r="K34" s="62">
        <f>K26*K$12</f>
        <v>2901168.4350000005</v>
      </c>
      <c r="L34" s="62">
        <f>L26*L$12</f>
        <v>3936518.9655000004</v>
      </c>
      <c r="M34" s="62">
        <f>M26*M$12</f>
        <v>5282474.6551500009</v>
      </c>
      <c r="N34" s="62">
        <f>N26*N$12</f>
        <v>7032217.0516950013</v>
      </c>
    </row>
    <row r="35" spans="2:18" ht="15" customHeight="1" x14ac:dyDescent="0.45">
      <c r="B35" s="59" t="s">
        <v>41</v>
      </c>
      <c r="C35" s="67" t="s">
        <v>37</v>
      </c>
      <c r="D35" s="55" t="s">
        <v>42</v>
      </c>
      <c r="E35" s="56">
        <f>E$18*$C$6</f>
        <v>1.1000000000000001E-2</v>
      </c>
      <c r="F35" s="56">
        <f>F$18*$C$6</f>
        <v>1.1000000000000001E-2</v>
      </c>
      <c r="G35" s="56">
        <f>G$18*$C$6</f>
        <v>1.1000000000000001E-2</v>
      </c>
      <c r="H35" s="56">
        <f>H$18*$C$6</f>
        <v>1.1000000000000001E-2</v>
      </c>
      <c r="I35" s="56">
        <f>I$18*$C$6</f>
        <v>1.1000000000000001E-2</v>
      </c>
      <c r="J35" s="56">
        <f>J$18*$C$6</f>
        <v>1.1000000000000001E-2</v>
      </c>
      <c r="K35" s="56">
        <f>K$18*$C$6</f>
        <v>1.1000000000000001E-2</v>
      </c>
      <c r="L35" s="56">
        <f>L$18*$C$6</f>
        <v>1.1000000000000001E-2</v>
      </c>
      <c r="M35" s="56">
        <f>M$18*$C$6</f>
        <v>1.1000000000000001E-2</v>
      </c>
      <c r="N35" s="56">
        <f>N$18*$C$6</f>
        <v>1.1000000000000001E-2</v>
      </c>
      <c r="R35" s="42"/>
    </row>
    <row r="36" spans="2:18" ht="15" customHeight="1" x14ac:dyDescent="0.45">
      <c r="B36" s="59"/>
      <c r="C36" s="67"/>
      <c r="D36" s="55" t="s">
        <v>44</v>
      </c>
      <c r="E36" s="56">
        <f>E$19*$C$6</f>
        <v>1.1000000000000001E-2</v>
      </c>
      <c r="F36" s="56">
        <f>F$19*$C$6</f>
        <v>2.2000000000000002E-2</v>
      </c>
      <c r="G36" s="56">
        <f>G$19*$C$6</f>
        <v>3.3000000000000002E-2</v>
      </c>
      <c r="H36" s="56">
        <f>H$19*$C$6</f>
        <v>4.4000000000000004E-2</v>
      </c>
      <c r="I36" s="56">
        <f>I$19*$C$6</f>
        <v>5.5000000000000007E-2</v>
      </c>
      <c r="J36" s="56">
        <f>J$19*$C$6</f>
        <v>6.6000000000000017E-2</v>
      </c>
      <c r="K36" s="56">
        <f>K$19*$C$6</f>
        <v>7.7000000000000013E-2</v>
      </c>
      <c r="L36" s="56">
        <f>L$19*$C$6</f>
        <v>8.8000000000000009E-2</v>
      </c>
      <c r="M36" s="56">
        <f>M$19*$C$6</f>
        <v>9.9000000000000005E-2</v>
      </c>
      <c r="N36" s="56">
        <f>N$19*$C$6</f>
        <v>0.11</v>
      </c>
      <c r="R36" s="42"/>
    </row>
    <row r="37" spans="2:18" ht="15" customHeight="1" x14ac:dyDescent="0.45">
      <c r="B37" s="59"/>
      <c r="C37" s="59"/>
      <c r="D37" s="60" t="s">
        <v>47</v>
      </c>
      <c r="E37" s="61">
        <f>10*E35</f>
        <v>0.11000000000000001</v>
      </c>
      <c r="F37" s="61">
        <f t="shared" ref="F37:N38" si="8">10*F35</f>
        <v>0.11000000000000001</v>
      </c>
      <c r="G37" s="61">
        <f t="shared" si="8"/>
        <v>0.11000000000000001</v>
      </c>
      <c r="H37" s="61">
        <f t="shared" si="8"/>
        <v>0.11000000000000001</v>
      </c>
      <c r="I37" s="61">
        <f t="shared" si="8"/>
        <v>0.11000000000000001</v>
      </c>
      <c r="J37" s="61">
        <f t="shared" si="8"/>
        <v>0.11000000000000001</v>
      </c>
      <c r="K37" s="61">
        <f t="shared" si="8"/>
        <v>0.11000000000000001</v>
      </c>
      <c r="L37" s="61">
        <f t="shared" si="8"/>
        <v>0.11000000000000001</v>
      </c>
      <c r="M37" s="61">
        <f t="shared" si="8"/>
        <v>0.11000000000000001</v>
      </c>
      <c r="N37" s="61">
        <f t="shared" si="8"/>
        <v>0.11000000000000001</v>
      </c>
    </row>
    <row r="38" spans="2:18" ht="15" customHeight="1" x14ac:dyDescent="0.45">
      <c r="B38" s="59"/>
      <c r="C38" s="59"/>
      <c r="D38" s="60" t="s">
        <v>48</v>
      </c>
      <c r="E38" s="61">
        <f>10*E36</f>
        <v>0.11000000000000001</v>
      </c>
      <c r="F38" s="61">
        <f t="shared" si="8"/>
        <v>0.22000000000000003</v>
      </c>
      <c r="G38" s="61">
        <f t="shared" si="8"/>
        <v>0.33</v>
      </c>
      <c r="H38" s="61">
        <f t="shared" si="8"/>
        <v>0.44000000000000006</v>
      </c>
      <c r="I38" s="61">
        <f t="shared" si="8"/>
        <v>0.55000000000000004</v>
      </c>
      <c r="J38" s="61">
        <f t="shared" si="8"/>
        <v>0.66000000000000014</v>
      </c>
      <c r="K38" s="61">
        <f t="shared" si="8"/>
        <v>0.77000000000000013</v>
      </c>
      <c r="L38" s="61">
        <f t="shared" si="8"/>
        <v>0.88000000000000012</v>
      </c>
      <c r="M38" s="61">
        <f t="shared" si="8"/>
        <v>0.99</v>
      </c>
      <c r="N38" s="61">
        <f t="shared" si="8"/>
        <v>1.1000000000000001</v>
      </c>
    </row>
    <row r="39" spans="2:18" ht="15" customHeight="1" x14ac:dyDescent="0.45">
      <c r="B39" s="59"/>
      <c r="C39" s="67" t="s">
        <v>38</v>
      </c>
      <c r="D39" s="55" t="s">
        <v>45</v>
      </c>
      <c r="E39" s="56">
        <f>E$12*E35/$C$3</f>
        <v>1.4300000000000002E-2</v>
      </c>
      <c r="F39" s="56">
        <f>F$12*F35/$C$3</f>
        <v>1.8590000000000002E-2</v>
      </c>
      <c r="G39" s="56">
        <f>G$12*G35/$C$3</f>
        <v>2.4167000000000004E-2</v>
      </c>
      <c r="H39" s="56">
        <f>H$12*H35/$C$3</f>
        <v>3.1417100000000003E-2</v>
      </c>
      <c r="I39" s="56">
        <f>I$12*I35/$C$3</f>
        <v>4.0842230000000007E-2</v>
      </c>
      <c r="J39" s="56">
        <f>J$12*J35/$C$3</f>
        <v>5.3094899000000008E-2</v>
      </c>
      <c r="K39" s="56">
        <f>K$12*K35/$C$3</f>
        <v>6.9023368700000004E-2</v>
      </c>
      <c r="L39" s="56">
        <f>L$12*L35/$C$3</f>
        <v>8.9730379310000011E-2</v>
      </c>
      <c r="M39" s="56">
        <f>M$12*M35/$C$3</f>
        <v>0.11664949310300002</v>
      </c>
      <c r="N39" s="56">
        <f>N$12*N35/$C$3</f>
        <v>0.15164434103390001</v>
      </c>
      <c r="R39" s="42"/>
    </row>
    <row r="40" spans="2:18" ht="15" customHeight="1" x14ac:dyDescent="0.45">
      <c r="B40" s="59"/>
      <c r="C40" s="67"/>
      <c r="D40" s="55" t="s">
        <v>46</v>
      </c>
      <c r="E40" s="56"/>
      <c r="F40" s="56"/>
      <c r="G40" s="56"/>
      <c r="H40" s="56"/>
      <c r="I40" s="57">
        <f>SUM(E39:I39)/5</f>
        <v>2.5863266000000006E-2</v>
      </c>
      <c r="J40" s="57"/>
      <c r="K40" s="57"/>
      <c r="L40" s="57"/>
      <c r="M40" s="57"/>
      <c r="N40" s="57">
        <f>SUM(E39:N39)/10</f>
        <v>6.0945881114690001E-2</v>
      </c>
      <c r="R40" s="42"/>
    </row>
    <row r="41" spans="2:18" ht="15" customHeight="1" x14ac:dyDescent="0.45">
      <c r="B41" s="59"/>
      <c r="C41" s="59"/>
      <c r="D41" s="60" t="s">
        <v>49</v>
      </c>
      <c r="E41" s="64">
        <f>E37*E$12</f>
        <v>14300.000000000002</v>
      </c>
      <c r="F41" s="64">
        <f>F37*F$12</f>
        <v>18590.000000000004</v>
      </c>
      <c r="G41" s="64">
        <f>G37*G$12</f>
        <v>24167.000000000004</v>
      </c>
      <c r="H41" s="64">
        <f>H37*H$12</f>
        <v>31417.100000000006</v>
      </c>
      <c r="I41" s="64">
        <f>I37*I$12</f>
        <v>40842.230000000003</v>
      </c>
      <c r="J41" s="64">
        <f>J37*J$12</f>
        <v>53094.899000000012</v>
      </c>
      <c r="K41" s="64">
        <f>K37*K$12</f>
        <v>69023.368700000021</v>
      </c>
      <c r="L41" s="64">
        <f>L37*L$12</f>
        <v>89730.379310000018</v>
      </c>
      <c r="M41" s="64">
        <f>M37*M$12</f>
        <v>116649.49310300003</v>
      </c>
      <c r="N41" s="64">
        <f>N37*N$12</f>
        <v>151644.34103390004</v>
      </c>
      <c r="R41" s="42"/>
    </row>
    <row r="42" spans="2:18" ht="15" customHeight="1" x14ac:dyDescent="0.45">
      <c r="B42" s="59"/>
      <c r="C42" s="59"/>
      <c r="D42" s="60" t="s">
        <v>51</v>
      </c>
      <c r="E42" s="65"/>
      <c r="F42" s="65"/>
      <c r="G42" s="65"/>
      <c r="H42" s="65"/>
      <c r="I42" s="64">
        <f>SUM(E41:I41)/5</f>
        <v>25863.266000000003</v>
      </c>
      <c r="J42" s="64"/>
      <c r="K42" s="64"/>
      <c r="L42" s="64"/>
      <c r="M42" s="64"/>
      <c r="N42" s="64">
        <f>SUM(E41:N41)/10</f>
        <v>60945.881114690004</v>
      </c>
      <c r="R42" s="42"/>
    </row>
    <row r="43" spans="2:18" ht="15" customHeight="1" x14ac:dyDescent="0.45">
      <c r="B43" s="59"/>
      <c r="C43" s="59"/>
      <c r="D43" s="60" t="s">
        <v>50</v>
      </c>
      <c r="E43" s="65">
        <f>E41</f>
        <v>14300.000000000002</v>
      </c>
      <c r="F43" s="65">
        <f t="shared" ref="F43:N43" si="9">E43+F41</f>
        <v>32890.000000000007</v>
      </c>
      <c r="G43" s="65">
        <f t="shared" si="9"/>
        <v>57057.000000000015</v>
      </c>
      <c r="H43" s="65">
        <f t="shared" si="9"/>
        <v>88474.10000000002</v>
      </c>
      <c r="I43" s="65">
        <f t="shared" si="9"/>
        <v>129316.33000000002</v>
      </c>
      <c r="J43" s="65">
        <f t="shared" si="9"/>
        <v>182411.22900000002</v>
      </c>
      <c r="K43" s="65">
        <f t="shared" si="9"/>
        <v>251434.59770000004</v>
      </c>
      <c r="L43" s="65">
        <f t="shared" si="9"/>
        <v>341164.97701000003</v>
      </c>
      <c r="M43" s="65">
        <f t="shared" si="9"/>
        <v>457814.47011300008</v>
      </c>
      <c r="N43" s="65">
        <f t="shared" si="9"/>
        <v>609458.81114690006</v>
      </c>
      <c r="R43" s="42"/>
    </row>
    <row r="44" spans="2:18" ht="15" customHeight="1" x14ac:dyDescent="0.45">
      <c r="B44" s="59"/>
      <c r="C44" s="67" t="s">
        <v>39</v>
      </c>
      <c r="D44" s="55" t="s">
        <v>45</v>
      </c>
      <c r="E44" s="56">
        <f>E36*E$12/$C$3</f>
        <v>1.4300000000000002E-2</v>
      </c>
      <c r="F44" s="56">
        <f>F36*F$12/$C$3-E44</f>
        <v>2.2880000000000005E-2</v>
      </c>
      <c r="G44" s="56">
        <f>G36*G$12/$C$3-F44-E44</f>
        <v>3.5321000000000005E-2</v>
      </c>
      <c r="H44" s="56">
        <f>H36*H$12/$C$3-G44-F44-E44</f>
        <v>5.316740000000001E-2</v>
      </c>
      <c r="I44" s="56">
        <f>I36*I$12/$C$3-H44-G44-F44-E44</f>
        <v>7.8542749999999995E-2</v>
      </c>
      <c r="J44" s="56">
        <f>J36*J$12/$C$3-I44-H44-G44-F44-E44</f>
        <v>0.11435824400000008</v>
      </c>
      <c r="K44" s="56">
        <f>K36*K$12/$C$3-J44-I44-H44-G44-F44-E44</f>
        <v>0.16459418690000002</v>
      </c>
      <c r="L44" s="56">
        <f>L36*L$12/$C$3-K44-J44-I44-H44-G44-F44-E44</f>
        <v>0.23467945357999995</v>
      </c>
      <c r="M44" s="56">
        <f>M36*M$12/$C$3-L44-K44-J44-I44-H44-G44-F44-E44</f>
        <v>0.33200240344700005</v>
      </c>
      <c r="N44" s="56">
        <f>N36*N$12/$C$3-M44-L44-K44-J44-I44-H44-G44-F44-E44</f>
        <v>0.46659797241199985</v>
      </c>
      <c r="R44" s="42"/>
    </row>
    <row r="45" spans="2:18" ht="15" customHeight="1" x14ac:dyDescent="0.45">
      <c r="B45" s="59"/>
      <c r="C45" s="67"/>
      <c r="D45" s="55" t="s">
        <v>46</v>
      </c>
      <c r="E45" s="57"/>
      <c r="F45" s="57"/>
      <c r="G45" s="57"/>
      <c r="H45" s="57"/>
      <c r="I45" s="57">
        <f>SUM(E44:I44)/5</f>
        <v>4.084223E-2</v>
      </c>
      <c r="J45" s="57"/>
      <c r="K45" s="57"/>
      <c r="L45" s="57"/>
      <c r="M45" s="57"/>
      <c r="N45" s="57">
        <f>SUM(E44:N44)/10</f>
        <v>0.15164434103389998</v>
      </c>
      <c r="R45" s="42"/>
    </row>
    <row r="46" spans="2:18" ht="15" customHeight="1" x14ac:dyDescent="0.45">
      <c r="B46" s="59"/>
      <c r="C46" s="59"/>
      <c r="D46" s="60" t="s">
        <v>49</v>
      </c>
      <c r="E46" s="64">
        <f>E48</f>
        <v>14300.000000000002</v>
      </c>
      <c r="F46" s="64">
        <f>F48-E48</f>
        <v>22880.000000000007</v>
      </c>
      <c r="G46" s="64">
        <f>G48-F48</f>
        <v>35320.999999999993</v>
      </c>
      <c r="H46" s="64">
        <f t="shared" ref="H46:N46" si="10">H48-G48</f>
        <v>53167.400000000023</v>
      </c>
      <c r="I46" s="64">
        <f t="shared" si="10"/>
        <v>78542.75</v>
      </c>
      <c r="J46" s="64">
        <f t="shared" si="10"/>
        <v>114358.24400000006</v>
      </c>
      <c r="K46" s="64">
        <f t="shared" si="10"/>
        <v>164594.18690000003</v>
      </c>
      <c r="L46" s="64">
        <f t="shared" si="10"/>
        <v>234679.45358000003</v>
      </c>
      <c r="M46" s="64">
        <f t="shared" si="10"/>
        <v>332002.40344699984</v>
      </c>
      <c r="N46" s="64">
        <f t="shared" si="10"/>
        <v>466597.97241200018</v>
      </c>
      <c r="R46" s="42"/>
    </row>
    <row r="47" spans="2:18" ht="15" customHeight="1" x14ac:dyDescent="0.45">
      <c r="B47" s="59"/>
      <c r="C47" s="59"/>
      <c r="D47" s="60" t="s">
        <v>51</v>
      </c>
      <c r="E47" s="64"/>
      <c r="F47" s="64"/>
      <c r="G47" s="64"/>
      <c r="H47" s="64"/>
      <c r="I47" s="64">
        <f>SUM(E46:I46)/5</f>
        <v>40842.230000000003</v>
      </c>
      <c r="J47" s="64"/>
      <c r="K47" s="64"/>
      <c r="L47" s="64"/>
      <c r="M47" s="64"/>
      <c r="N47" s="64">
        <f>SUM(E46:N46)/10</f>
        <v>151644.34103390001</v>
      </c>
      <c r="R47" s="42"/>
    </row>
    <row r="48" spans="2:18" ht="15" customHeight="1" x14ac:dyDescent="0.45">
      <c r="B48" s="59"/>
      <c r="C48" s="59"/>
      <c r="D48" s="60" t="s">
        <v>50</v>
      </c>
      <c r="E48" s="65">
        <f>E38*E$12</f>
        <v>14300.000000000002</v>
      </c>
      <c r="F48" s="65">
        <f>F38*F$12</f>
        <v>37180.000000000007</v>
      </c>
      <c r="G48" s="65">
        <f>G38*G$12</f>
        <v>72501</v>
      </c>
      <c r="H48" s="65">
        <f>H38*H$12</f>
        <v>125668.40000000002</v>
      </c>
      <c r="I48" s="65">
        <f>I38*I$12</f>
        <v>204211.15000000002</v>
      </c>
      <c r="J48" s="65">
        <f>J38*J$12</f>
        <v>318569.39400000009</v>
      </c>
      <c r="K48" s="65">
        <f>K38*K$12</f>
        <v>483163.58090000012</v>
      </c>
      <c r="L48" s="65">
        <f>L38*L$12</f>
        <v>717843.03448000015</v>
      </c>
      <c r="M48" s="65">
        <f>M38*M$12</f>
        <v>1049845.437927</v>
      </c>
      <c r="N48" s="65">
        <f>N38*N$12</f>
        <v>1516443.4103390002</v>
      </c>
      <c r="R48" s="42"/>
    </row>
    <row r="49" spans="1:18" ht="15" customHeight="1" x14ac:dyDescent="0.45">
      <c r="A49" s="44"/>
      <c r="B49" s="66" t="s">
        <v>52</v>
      </c>
      <c r="C49" s="67" t="s">
        <v>37</v>
      </c>
      <c r="D49" s="55" t="s">
        <v>42</v>
      </c>
      <c r="E49" s="56">
        <f>E22+E35</f>
        <v>0.13792307692307695</v>
      </c>
      <c r="F49" s="56">
        <f t="shared" ref="F49:N49" si="11">F22+F35</f>
        <v>0.10863313609467454</v>
      </c>
      <c r="G49" s="56">
        <f t="shared" si="11"/>
        <v>8.610241238051887E-2</v>
      </c>
      <c r="H49" s="56">
        <f t="shared" si="11"/>
        <v>6.8771086446552998E-2</v>
      </c>
      <c r="I49" s="56">
        <f t="shared" si="11"/>
        <v>5.5439297266579236E-2</v>
      </c>
      <c r="J49" s="56">
        <f t="shared" si="11"/>
        <v>4.5184074820445612E-2</v>
      </c>
      <c r="K49" s="56">
        <f t="shared" si="11"/>
        <v>3.7295442169573485E-2</v>
      </c>
      <c r="L49" s="56">
        <f t="shared" si="11"/>
        <v>3.1227263207364249E-2</v>
      </c>
      <c r="M49" s="56">
        <f t="shared" si="11"/>
        <v>2.6559433236434005E-2</v>
      </c>
      <c r="N49" s="56">
        <f t="shared" si="11"/>
        <v>2.2968794797256942E-2</v>
      </c>
      <c r="O49" s="44"/>
    </row>
    <row r="50" spans="1:18" ht="15" customHeight="1" x14ac:dyDescent="0.45">
      <c r="B50" s="66"/>
      <c r="C50" s="67"/>
      <c r="D50" s="55" t="s">
        <v>43</v>
      </c>
      <c r="E50" s="56"/>
      <c r="F50" s="56"/>
      <c r="G50" s="56"/>
      <c r="H50" s="56"/>
      <c r="I50" s="57">
        <f>SUM(E49:I49)/5</f>
        <v>9.1373801822280526E-2</v>
      </c>
      <c r="J50" s="56"/>
      <c r="K50" s="56"/>
      <c r="L50" s="56"/>
      <c r="M50" s="56"/>
      <c r="N50" s="57">
        <f>SUM(E49:N49)/10</f>
        <v>6.2010401734247697E-2</v>
      </c>
    </row>
    <row r="51" spans="1:18" ht="15" customHeight="1" x14ac:dyDescent="0.45">
      <c r="B51" s="66"/>
      <c r="C51" s="67"/>
      <c r="D51" s="55" t="s">
        <v>44</v>
      </c>
      <c r="E51" s="56">
        <f>E24+E36</f>
        <v>0.13792307692307695</v>
      </c>
      <c r="F51" s="56">
        <f t="shared" ref="F51:N51" si="12">F24+F36</f>
        <v>0.24655621301775146</v>
      </c>
      <c r="G51" s="56">
        <f t="shared" si="12"/>
        <v>0.3326586253982704</v>
      </c>
      <c r="H51" s="56">
        <f t="shared" si="12"/>
        <v>0.40142971184482334</v>
      </c>
      <c r="I51" s="56">
        <f t="shared" si="12"/>
        <v>0.4568690091114026</v>
      </c>
      <c r="J51" s="56">
        <f t="shared" si="12"/>
        <v>0.50205308393184822</v>
      </c>
      <c r="K51" s="56">
        <f t="shared" si="12"/>
        <v>0.5393485261014217</v>
      </c>
      <c r="L51" s="56">
        <f t="shared" si="12"/>
        <v>0.57057578930878594</v>
      </c>
      <c r="M51" s="56">
        <f t="shared" si="12"/>
        <v>0.59713522254521989</v>
      </c>
      <c r="N51" s="56">
        <f t="shared" si="12"/>
        <v>0.62010401734247689</v>
      </c>
    </row>
    <row r="52" spans="1:18" ht="15" customHeight="1" x14ac:dyDescent="0.45">
      <c r="B52" s="66"/>
      <c r="C52" s="59"/>
      <c r="D52" s="60" t="s">
        <v>47</v>
      </c>
      <c r="E52" s="61">
        <f>10*E49</f>
        <v>1.3792307692307695</v>
      </c>
      <c r="F52" s="61">
        <f t="shared" ref="F52:N52" si="13">10*F49</f>
        <v>1.0863313609467453</v>
      </c>
      <c r="G52" s="61">
        <f t="shared" si="13"/>
        <v>0.86102412380518867</v>
      </c>
      <c r="H52" s="61">
        <f t="shared" si="13"/>
        <v>0.68771086446552998</v>
      </c>
      <c r="I52" s="61">
        <f t="shared" si="13"/>
        <v>0.55439297266579235</v>
      </c>
      <c r="J52" s="61">
        <f t="shared" si="13"/>
        <v>0.45184074820445613</v>
      </c>
      <c r="K52" s="61">
        <f t="shared" si="13"/>
        <v>0.37295442169573484</v>
      </c>
      <c r="L52" s="61">
        <f t="shared" si="13"/>
        <v>0.31227263207364248</v>
      </c>
      <c r="M52" s="61">
        <f t="shared" si="13"/>
        <v>0.26559433236434005</v>
      </c>
      <c r="N52" s="61">
        <f t="shared" si="13"/>
        <v>0.22968794797256942</v>
      </c>
    </row>
    <row r="53" spans="1:18" ht="15" customHeight="1" x14ac:dyDescent="0.45">
      <c r="B53" s="66"/>
      <c r="C53" s="59"/>
      <c r="D53" s="60" t="s">
        <v>48</v>
      </c>
      <c r="E53" s="61">
        <f>10*E51</f>
        <v>1.3792307692307695</v>
      </c>
      <c r="F53" s="61">
        <f>10*F51</f>
        <v>2.4655621301775148</v>
      </c>
      <c r="G53" s="61">
        <f>10*G51</f>
        <v>3.326586253982704</v>
      </c>
      <c r="H53" s="61">
        <f t="shared" ref="H53:N53" si="14">10*H51</f>
        <v>4.0142971184482334</v>
      </c>
      <c r="I53" s="61">
        <f t="shared" si="14"/>
        <v>4.5686900911140258</v>
      </c>
      <c r="J53" s="61">
        <f t="shared" si="14"/>
        <v>5.0205308393184822</v>
      </c>
      <c r="K53" s="61">
        <f t="shared" si="14"/>
        <v>5.3934852610142165</v>
      </c>
      <c r="L53" s="61">
        <f t="shared" si="14"/>
        <v>5.7057578930878599</v>
      </c>
      <c r="M53" s="61">
        <f t="shared" si="14"/>
        <v>5.9713522254521987</v>
      </c>
      <c r="N53" s="61">
        <f t="shared" si="14"/>
        <v>6.2010401734247687</v>
      </c>
    </row>
    <row r="54" spans="1:18" ht="15" customHeight="1" x14ac:dyDescent="0.45">
      <c r="B54" s="66"/>
      <c r="C54" s="67" t="s">
        <v>38</v>
      </c>
      <c r="D54" s="55" t="s">
        <v>45</v>
      </c>
      <c r="E54" s="56">
        <f>E27+E39</f>
        <v>0.17930000000000004</v>
      </c>
      <c r="F54" s="56">
        <f t="shared" ref="F54:N54" si="15">F27+F39</f>
        <v>0.18358999999999995</v>
      </c>
      <c r="G54" s="56">
        <f t="shared" si="15"/>
        <v>0.18916699999999995</v>
      </c>
      <c r="H54" s="56">
        <f t="shared" si="15"/>
        <v>0.19641710000000001</v>
      </c>
      <c r="I54" s="56">
        <f t="shared" si="15"/>
        <v>0.20584223000000004</v>
      </c>
      <c r="J54" s="56">
        <f t="shared" si="15"/>
        <v>0.21809489900000026</v>
      </c>
      <c r="K54" s="56">
        <f t="shared" si="15"/>
        <v>0.23402336869999985</v>
      </c>
      <c r="L54" s="56">
        <f t="shared" si="15"/>
        <v>0.25473037931000014</v>
      </c>
      <c r="M54" s="56">
        <f t="shared" si="15"/>
        <v>0.2816494931029998</v>
      </c>
      <c r="N54" s="56">
        <f t="shared" si="15"/>
        <v>0.31664434103389993</v>
      </c>
    </row>
    <row r="55" spans="1:18" ht="15" customHeight="1" x14ac:dyDescent="0.45">
      <c r="B55" s="66"/>
      <c r="C55" s="67"/>
      <c r="D55" s="55" t="s">
        <v>46</v>
      </c>
      <c r="E55" s="56"/>
      <c r="F55" s="56"/>
      <c r="G55" s="56"/>
      <c r="H55" s="56"/>
      <c r="I55" s="115">
        <f>SUM(E54:I54)/5</f>
        <v>0.19086326599999998</v>
      </c>
      <c r="J55" s="57"/>
      <c r="K55" s="57"/>
      <c r="L55" s="57"/>
      <c r="M55" s="57"/>
      <c r="N55" s="57">
        <f>SUM(E54:N54)/10</f>
        <v>0.22594588111469002</v>
      </c>
    </row>
    <row r="56" spans="1:18" ht="15" customHeight="1" x14ac:dyDescent="0.45">
      <c r="B56" s="66"/>
      <c r="C56" s="59"/>
      <c r="D56" s="60" t="s">
        <v>49</v>
      </c>
      <c r="E56" s="63">
        <f>E52*E$12</f>
        <v>179300.00000000003</v>
      </c>
      <c r="F56" s="63">
        <f>F52*F$12</f>
        <v>183589.99999999997</v>
      </c>
      <c r="G56" s="63">
        <f>G52*G$12</f>
        <v>189166.99999999994</v>
      </c>
      <c r="H56" s="63">
        <f>H52*H$12</f>
        <v>196417.1</v>
      </c>
      <c r="I56" s="63">
        <f>I52*I$12</f>
        <v>205842.23000000004</v>
      </c>
      <c r="J56" s="63">
        <f>J52*J$12</f>
        <v>218094.89900000027</v>
      </c>
      <c r="K56" s="63">
        <f>K52*K$12</f>
        <v>234023.36869999988</v>
      </c>
      <c r="L56" s="63">
        <f>L52*L$12</f>
        <v>254730.37931000011</v>
      </c>
      <c r="M56" s="63">
        <f>M52*M$12</f>
        <v>281649.49310299981</v>
      </c>
      <c r="N56" s="63">
        <f>N52*N$12</f>
        <v>316644.34103389998</v>
      </c>
    </row>
    <row r="57" spans="1:18" ht="15" customHeight="1" x14ac:dyDescent="0.45">
      <c r="B57" s="66"/>
      <c r="C57" s="59"/>
      <c r="D57" s="60" t="s">
        <v>51</v>
      </c>
      <c r="E57" s="62"/>
      <c r="F57" s="62"/>
      <c r="G57" s="62"/>
      <c r="H57" s="62"/>
      <c r="I57" s="63">
        <f>SUM(E56:I56)/5</f>
        <v>190863.266</v>
      </c>
      <c r="J57" s="63"/>
      <c r="K57" s="63"/>
      <c r="L57" s="63"/>
      <c r="M57" s="63"/>
      <c r="N57" s="63">
        <f>SUM(E56:N56)/10</f>
        <v>225945.88111469004</v>
      </c>
      <c r="R57" s="42"/>
    </row>
    <row r="58" spans="1:18" ht="15" customHeight="1" x14ac:dyDescent="0.45">
      <c r="B58" s="66"/>
      <c r="C58" s="59"/>
      <c r="D58" s="60" t="s">
        <v>50</v>
      </c>
      <c r="E58" s="62">
        <f>E56</f>
        <v>179300.00000000003</v>
      </c>
      <c r="F58" s="62">
        <f t="shared" ref="F58:N58" si="16">E58+F56</f>
        <v>362890</v>
      </c>
      <c r="G58" s="62">
        <f t="shared" si="16"/>
        <v>552057</v>
      </c>
      <c r="H58" s="62">
        <f t="shared" si="16"/>
        <v>748474.1</v>
      </c>
      <c r="I58" s="62">
        <f t="shared" si="16"/>
        <v>954316.33000000007</v>
      </c>
      <c r="J58" s="62">
        <f t="shared" si="16"/>
        <v>1172411.2290000003</v>
      </c>
      <c r="K58" s="62">
        <f t="shared" si="16"/>
        <v>1406434.5977000003</v>
      </c>
      <c r="L58" s="62">
        <f t="shared" si="16"/>
        <v>1661164.9770100005</v>
      </c>
      <c r="M58" s="62">
        <f t="shared" si="16"/>
        <v>1942814.4701130004</v>
      </c>
      <c r="N58" s="62">
        <f t="shared" si="16"/>
        <v>2259458.8111469005</v>
      </c>
    </row>
    <row r="59" spans="1:18" ht="15" customHeight="1" x14ac:dyDescent="0.45">
      <c r="B59" s="66"/>
      <c r="C59" s="67" t="s">
        <v>39</v>
      </c>
      <c r="D59" s="55" t="s">
        <v>45</v>
      </c>
      <c r="E59" s="56">
        <f>E30+E44</f>
        <v>0.17930000000000004</v>
      </c>
      <c r="F59" s="56">
        <f t="shared" ref="F59:N59" si="17">F30+F44</f>
        <v>0.23737999999999998</v>
      </c>
      <c r="G59" s="56">
        <f t="shared" si="17"/>
        <v>0.31417099999999998</v>
      </c>
      <c r="H59" s="56">
        <f t="shared" si="17"/>
        <v>0.41567240000000011</v>
      </c>
      <c r="I59" s="56">
        <f t="shared" si="17"/>
        <v>0.54979925000000018</v>
      </c>
      <c r="J59" s="56">
        <f t="shared" si="17"/>
        <v>0.72699169400000041</v>
      </c>
      <c r="K59" s="56">
        <f t="shared" si="17"/>
        <v>0.96101767189999987</v>
      </c>
      <c r="L59" s="56">
        <f t="shared" si="17"/>
        <v>1.2700299840800005</v>
      </c>
      <c r="M59" s="56">
        <f t="shared" si="17"/>
        <v>1.6779580930969993</v>
      </c>
      <c r="N59" s="56">
        <f t="shared" si="17"/>
        <v>2.2163403689569998</v>
      </c>
    </row>
    <row r="60" spans="1:18" ht="15" customHeight="1" x14ac:dyDescent="0.45">
      <c r="B60" s="66"/>
      <c r="C60" s="67"/>
      <c r="D60" s="55" t="s">
        <v>46</v>
      </c>
      <c r="E60" s="57"/>
      <c r="F60" s="57"/>
      <c r="G60" s="57"/>
      <c r="H60" s="57"/>
      <c r="I60" s="115">
        <f>SUM(E59:I59)/5</f>
        <v>0.33926453000000006</v>
      </c>
      <c r="J60" s="57"/>
      <c r="K60" s="57"/>
      <c r="L60" s="57"/>
      <c r="M60" s="57"/>
      <c r="N60" s="57">
        <f>SUM(E59:N59)/10</f>
        <v>0.85486604620340001</v>
      </c>
    </row>
    <row r="61" spans="1:18" ht="15" customHeight="1" x14ac:dyDescent="0.45">
      <c r="B61" s="66"/>
      <c r="C61" s="59"/>
      <c r="D61" s="60" t="s">
        <v>49</v>
      </c>
      <c r="E61" s="63">
        <f>E63</f>
        <v>179300.00000000003</v>
      </c>
      <c r="F61" s="63">
        <f>F63-E63</f>
        <v>237379.99999999997</v>
      </c>
      <c r="G61" s="63">
        <f>G63-F63</f>
        <v>314171.00000000012</v>
      </c>
      <c r="H61" s="63">
        <f t="shared" ref="H61:N61" si="18">H63-G63</f>
        <v>415672.39999999979</v>
      </c>
      <c r="I61" s="63">
        <f t="shared" si="18"/>
        <v>549799.25</v>
      </c>
      <c r="J61" s="63">
        <f t="shared" si="18"/>
        <v>726991.6940000006</v>
      </c>
      <c r="K61" s="63">
        <f t="shared" si="18"/>
        <v>961017.67189999996</v>
      </c>
      <c r="L61" s="63">
        <f t="shared" si="18"/>
        <v>1270029.9840800003</v>
      </c>
      <c r="M61" s="63">
        <f t="shared" si="18"/>
        <v>1677958.0930969995</v>
      </c>
      <c r="N61" s="63">
        <f t="shared" si="18"/>
        <v>2216340.3689569999</v>
      </c>
    </row>
    <row r="62" spans="1:18" ht="15" customHeight="1" x14ac:dyDescent="0.45">
      <c r="B62" s="66"/>
      <c r="C62" s="59"/>
      <c r="D62" s="60" t="s">
        <v>51</v>
      </c>
      <c r="E62" s="63"/>
      <c r="F62" s="63"/>
      <c r="G62" s="63"/>
      <c r="H62" s="63"/>
      <c r="I62" s="63">
        <f>SUM(E61:I61)/5</f>
        <v>339264.52999999997</v>
      </c>
      <c r="J62" s="63"/>
      <c r="K62" s="63"/>
      <c r="L62" s="63"/>
      <c r="M62" s="63"/>
      <c r="N62" s="63">
        <f>SUM(E61:N61)/10</f>
        <v>854866.04620340001</v>
      </c>
      <c r="R62" s="53"/>
    </row>
    <row r="63" spans="1:18" ht="15" customHeight="1" x14ac:dyDescent="0.45">
      <c r="B63" s="66"/>
      <c r="C63" s="59"/>
      <c r="D63" s="60" t="s">
        <v>50</v>
      </c>
      <c r="E63" s="62">
        <f>E53*E$12</f>
        <v>179300.00000000003</v>
      </c>
      <c r="F63" s="62">
        <f>F53*F$12</f>
        <v>416680</v>
      </c>
      <c r="G63" s="62">
        <f>G53*G$12</f>
        <v>730851.00000000012</v>
      </c>
      <c r="H63" s="62">
        <f>H53*H$12</f>
        <v>1146523.3999999999</v>
      </c>
      <c r="I63" s="62">
        <f>I53*I$12</f>
        <v>1696322.65</v>
      </c>
      <c r="J63" s="62">
        <f>J53*J$12</f>
        <v>2423314.3440000005</v>
      </c>
      <c r="K63" s="62">
        <f>K53*K$12</f>
        <v>3384332.0159000005</v>
      </c>
      <c r="L63" s="62">
        <f>L53*L$12</f>
        <v>4654361.9999800008</v>
      </c>
      <c r="M63" s="62">
        <f>M53*M$12</f>
        <v>6332320.0930770002</v>
      </c>
      <c r="N63" s="62">
        <f>N53*N$12</f>
        <v>8548660.4620340001</v>
      </c>
    </row>
    <row r="64" spans="1:18" ht="15" customHeight="1" x14ac:dyDescent="0.45">
      <c r="A64" s="23"/>
      <c r="B64" s="7"/>
      <c r="C64" s="103"/>
      <c r="D64" s="105"/>
      <c r="E64" s="106"/>
      <c r="F64" s="106"/>
      <c r="G64" s="106"/>
      <c r="H64" s="106"/>
      <c r="I64" s="106"/>
      <c r="J64" s="106"/>
      <c r="K64" s="106"/>
      <c r="L64" s="106"/>
      <c r="M64" s="106"/>
      <c r="N64" s="106"/>
      <c r="O64" s="23"/>
    </row>
    <row r="65" spans="2:18" ht="45" customHeight="1" x14ac:dyDescent="0.45">
      <c r="B65" s="93" t="s">
        <v>19</v>
      </c>
      <c r="C65" s="94"/>
      <c r="D65" s="95" t="str">
        <f>"Yield Allocation = "&amp;$C$7*100&amp;"%"&amp;CHAR(10) &amp; "Test Case = 10 BTC / "&amp;TEXT($C$3*10, "$###0.00,,")&amp;"M USD"</f>
        <v>Yield Allocation = 15%
Test Case = 10 BTC / $1.00M USD</v>
      </c>
      <c r="E65" s="89" t="s">
        <v>7</v>
      </c>
      <c r="F65" s="89" t="s">
        <v>8</v>
      </c>
      <c r="G65" s="89" t="s">
        <v>9</v>
      </c>
      <c r="H65" s="89" t="s">
        <v>10</v>
      </c>
      <c r="I65" s="89" t="s">
        <v>11</v>
      </c>
      <c r="J65" s="89" t="s">
        <v>12</v>
      </c>
      <c r="K65" s="89" t="s">
        <v>13</v>
      </c>
      <c r="L65" s="89" t="s">
        <v>14</v>
      </c>
      <c r="M65" s="89" t="s">
        <v>15</v>
      </c>
      <c r="N65" s="89" t="s">
        <v>16</v>
      </c>
    </row>
    <row r="66" spans="2:18" ht="15" customHeight="1" x14ac:dyDescent="0.45">
      <c r="B66" s="59" t="s">
        <v>40</v>
      </c>
      <c r="C66" s="67" t="s">
        <v>37</v>
      </c>
      <c r="D66" s="55" t="s">
        <v>42</v>
      </c>
      <c r="E66" s="56">
        <f>E$16*$C$7</f>
        <v>3.4615384615384617E-2</v>
      </c>
      <c r="F66" s="56">
        <f>F$16*$C$7</f>
        <v>2.6627218934911236E-2</v>
      </c>
      <c r="G66" s="56">
        <f>G$16*$C$7</f>
        <v>2.0482476103777875E-2</v>
      </c>
      <c r="H66" s="56">
        <f>H$16*$C$7</f>
        <v>1.5755750849059908E-2</v>
      </c>
      <c r="I66" s="56">
        <f>I$16*$C$7</f>
        <v>1.2119808345430699E-2</v>
      </c>
      <c r="J66" s="56">
        <f>J$16*$C$7</f>
        <v>9.3229294964851661E-3</v>
      </c>
      <c r="K66" s="56">
        <f>K$16*$C$7</f>
        <v>7.1714842280654941E-3</v>
      </c>
      <c r="L66" s="56">
        <f>L$16*$C$7</f>
        <v>5.5165263292811569E-3</v>
      </c>
      <c r="M66" s="56">
        <f>M$16*$C$7</f>
        <v>4.2434817917547272E-3</v>
      </c>
      <c r="N66" s="56">
        <f>N$16*$C$7</f>
        <v>3.2642167628882555E-3</v>
      </c>
    </row>
    <row r="67" spans="2:18" ht="15" customHeight="1" x14ac:dyDescent="0.45">
      <c r="B67" s="59"/>
      <c r="C67" s="67"/>
      <c r="D67" s="55" t="s">
        <v>43</v>
      </c>
      <c r="E67" s="56"/>
      <c r="F67" s="56"/>
      <c r="G67" s="56"/>
      <c r="H67" s="56"/>
      <c r="I67" s="57">
        <f>SUM(E66:I66)/5</f>
        <v>2.1920127769712867E-2</v>
      </c>
      <c r="J67" s="56"/>
      <c r="K67" s="56"/>
      <c r="L67" s="56"/>
      <c r="M67" s="56"/>
      <c r="N67" s="57">
        <f>SUM(E66:N66)/10</f>
        <v>1.3911927745703915E-2</v>
      </c>
    </row>
    <row r="68" spans="2:18" ht="15" customHeight="1" x14ac:dyDescent="0.45">
      <c r="B68" s="59"/>
      <c r="C68" s="67"/>
      <c r="D68" s="55" t="s">
        <v>44</v>
      </c>
      <c r="E68" s="56">
        <f>E$14*$C$7</f>
        <v>3.4615384615384617E-2</v>
      </c>
      <c r="F68" s="56">
        <f>F$14*$C$7</f>
        <v>6.124260355029585E-2</v>
      </c>
      <c r="G68" s="56">
        <f>G$14*$C$7</f>
        <v>8.1725079654073732E-2</v>
      </c>
      <c r="H68" s="56">
        <f>H$14*$C$7</f>
        <v>9.7480830503133636E-2</v>
      </c>
      <c r="I68" s="56">
        <f>I$14*$C$7</f>
        <v>0.10960063884856433</v>
      </c>
      <c r="J68" s="56">
        <f>J$14*$C$7</f>
        <v>0.1189235683450495</v>
      </c>
      <c r="K68" s="56">
        <f>K$14*$C$7</f>
        <v>0.12609505257311499</v>
      </c>
      <c r="L68" s="56">
        <f>L$14*$C$7</f>
        <v>0.13161157890239614</v>
      </c>
      <c r="M68" s="56">
        <f>M$14*$C$7</f>
        <v>0.13585506069415088</v>
      </c>
      <c r="N68" s="56">
        <f>N$14*$C$7</f>
        <v>0.13911927745703914</v>
      </c>
      <c r="R68" s="42"/>
    </row>
    <row r="69" spans="2:18" ht="15" customHeight="1" x14ac:dyDescent="0.45">
      <c r="B69" s="59"/>
      <c r="C69" s="59"/>
      <c r="D69" s="60" t="s">
        <v>47</v>
      </c>
      <c r="E69" s="61">
        <f>10*E66</f>
        <v>0.34615384615384615</v>
      </c>
      <c r="F69" s="61">
        <f t="shared" ref="F69:N69" si="19">10*F66</f>
        <v>0.26627218934911234</v>
      </c>
      <c r="G69" s="61">
        <f t="shared" si="19"/>
        <v>0.20482476103777875</v>
      </c>
      <c r="H69" s="61">
        <f t="shared" si="19"/>
        <v>0.15755750849059907</v>
      </c>
      <c r="I69" s="61">
        <f t="shared" si="19"/>
        <v>0.12119808345430699</v>
      </c>
      <c r="J69" s="61">
        <f t="shared" si="19"/>
        <v>9.3229294964851661E-2</v>
      </c>
      <c r="K69" s="61">
        <f t="shared" si="19"/>
        <v>7.1714842280654945E-2</v>
      </c>
      <c r="L69" s="61">
        <f t="shared" si="19"/>
        <v>5.5165263292811573E-2</v>
      </c>
      <c r="M69" s="61">
        <f t="shared" si="19"/>
        <v>4.2434817917547274E-2</v>
      </c>
      <c r="N69" s="61">
        <f t="shared" si="19"/>
        <v>3.2642167628882557E-2</v>
      </c>
      <c r="R69" s="42"/>
    </row>
    <row r="70" spans="2:18" ht="15" customHeight="1" x14ac:dyDescent="0.45">
      <c r="B70" s="59"/>
      <c r="C70" s="59"/>
      <c r="D70" s="60" t="s">
        <v>48</v>
      </c>
      <c r="E70" s="61">
        <f>10*E68</f>
        <v>0.34615384615384615</v>
      </c>
      <c r="F70" s="61">
        <f>10*F68</f>
        <v>0.61242603550295849</v>
      </c>
      <c r="G70" s="61">
        <f>10*G68</f>
        <v>0.81725079654073729</v>
      </c>
      <c r="H70" s="61">
        <f t="shared" ref="H70:N70" si="20">10*H68</f>
        <v>0.97480830503133631</v>
      </c>
      <c r="I70" s="61">
        <f t="shared" si="20"/>
        <v>1.0960063884856432</v>
      </c>
      <c r="J70" s="61">
        <f t="shared" si="20"/>
        <v>1.1892356834504949</v>
      </c>
      <c r="K70" s="61">
        <f t="shared" si="20"/>
        <v>1.26095052573115</v>
      </c>
      <c r="L70" s="61">
        <f t="shared" si="20"/>
        <v>1.3161157890239614</v>
      </c>
      <c r="M70" s="61">
        <f t="shared" si="20"/>
        <v>1.3585506069415088</v>
      </c>
      <c r="N70" s="61">
        <f t="shared" si="20"/>
        <v>1.3911927745703914</v>
      </c>
    </row>
    <row r="71" spans="2:18" ht="15" customHeight="1" x14ac:dyDescent="0.45">
      <c r="B71" s="59"/>
      <c r="C71" s="67" t="s">
        <v>38</v>
      </c>
      <c r="D71" s="55" t="s">
        <v>45</v>
      </c>
      <c r="E71" s="56">
        <f>E66*E$12/$C$3</f>
        <v>4.4999999999999998E-2</v>
      </c>
      <c r="F71" s="56">
        <f>F66*F$12/$C$3</f>
        <v>4.4999999999999991E-2</v>
      </c>
      <c r="G71" s="56">
        <f>G66*G$12/$C$3</f>
        <v>4.4999999999999991E-2</v>
      </c>
      <c r="H71" s="56">
        <f>H66*H$12/$C$3</f>
        <v>4.4999999999999998E-2</v>
      </c>
      <c r="I71" s="56">
        <f>I66*I$12/$C$3</f>
        <v>4.5000000000000012E-2</v>
      </c>
      <c r="J71" s="56">
        <f>J66*J$12/$C$3</f>
        <v>4.5000000000000075E-2</v>
      </c>
      <c r="K71" s="56">
        <f>K66*K$12/$C$3</f>
        <v>4.4999999999999957E-2</v>
      </c>
      <c r="L71" s="56">
        <f>L66*L$12/$C$3</f>
        <v>4.5000000000000019E-2</v>
      </c>
      <c r="M71" s="56">
        <f>M66*M$12/$C$3</f>
        <v>4.4999999999999929E-2</v>
      </c>
      <c r="N71" s="56">
        <f>N66*N$12/$C$3</f>
        <v>4.4999999999999971E-2</v>
      </c>
    </row>
    <row r="72" spans="2:18" ht="15" customHeight="1" x14ac:dyDescent="0.45">
      <c r="B72" s="59"/>
      <c r="C72" s="59"/>
      <c r="D72" s="60" t="s">
        <v>49</v>
      </c>
      <c r="E72" s="62">
        <f>E69*E$12</f>
        <v>45000</v>
      </c>
      <c r="F72" s="62">
        <f>F69*F$12</f>
        <v>44999.999999999985</v>
      </c>
      <c r="G72" s="62">
        <f>G69*G$12</f>
        <v>44999.999999999993</v>
      </c>
      <c r="H72" s="62">
        <f>H69*H$12</f>
        <v>45000</v>
      </c>
      <c r="I72" s="62">
        <f>I69*I$12</f>
        <v>45000.000000000007</v>
      </c>
      <c r="J72" s="62">
        <f>J69*J$12</f>
        <v>45000.000000000073</v>
      </c>
      <c r="K72" s="62">
        <f>K69*K$12</f>
        <v>44999.999999999956</v>
      </c>
      <c r="L72" s="62">
        <f>L69*L$12</f>
        <v>45000.000000000022</v>
      </c>
      <c r="M72" s="62">
        <f>M69*M$12</f>
        <v>44999.999999999927</v>
      </c>
      <c r="N72" s="62">
        <f>N69*N$12</f>
        <v>44999.999999999978</v>
      </c>
    </row>
    <row r="73" spans="2:18" ht="15" customHeight="1" x14ac:dyDescent="0.45">
      <c r="B73" s="59"/>
      <c r="C73" s="59"/>
      <c r="D73" s="60" t="s">
        <v>50</v>
      </c>
      <c r="E73" s="62">
        <f>E72</f>
        <v>45000</v>
      </c>
      <c r="F73" s="62">
        <f>E73+F72</f>
        <v>89999.999999999985</v>
      </c>
      <c r="G73" s="62">
        <f t="shared" ref="G73" si="21">F73+G72</f>
        <v>134999.99999999997</v>
      </c>
      <c r="H73" s="62">
        <f t="shared" ref="H73" si="22">G73+H72</f>
        <v>179999.99999999997</v>
      </c>
      <c r="I73" s="62">
        <f t="shared" ref="I73" si="23">H73+I72</f>
        <v>224999.99999999997</v>
      </c>
      <c r="J73" s="62">
        <f t="shared" ref="J73" si="24">I73+J72</f>
        <v>270000.00000000006</v>
      </c>
      <c r="K73" s="62">
        <f t="shared" ref="K73" si="25">J73+K72</f>
        <v>315000</v>
      </c>
      <c r="L73" s="62">
        <f t="shared" ref="L73" si="26">K73+L72</f>
        <v>360000</v>
      </c>
      <c r="M73" s="62">
        <f t="shared" ref="M73" si="27">L73+M72</f>
        <v>404999.99999999994</v>
      </c>
      <c r="N73" s="62">
        <f t="shared" ref="N73" si="28">M73+N72</f>
        <v>449999.99999999994</v>
      </c>
      <c r="R73" s="42"/>
    </row>
    <row r="74" spans="2:18" ht="15" customHeight="1" x14ac:dyDescent="0.45">
      <c r="B74" s="59"/>
      <c r="C74" s="67" t="s">
        <v>39</v>
      </c>
      <c r="D74" s="55" t="s">
        <v>45</v>
      </c>
      <c r="E74" s="56">
        <f>E68*E$12/$C$3</f>
        <v>4.4999999999999998E-2</v>
      </c>
      <c r="F74" s="56">
        <f>F68*F$12/$C$3-E74</f>
        <v>5.8499999999999983E-2</v>
      </c>
      <c r="G74" s="56">
        <f>G68*G$12/$C$3-F74-E74</f>
        <v>7.6050000000000006E-2</v>
      </c>
      <c r="H74" s="56">
        <f>H68*H$12/$C$3-G74-F74-E74</f>
        <v>9.8864999999999967E-2</v>
      </c>
      <c r="I74" s="56">
        <f>I68*I$12/$C$3-H74-G74-F74-E74</f>
        <v>0.12852449999999999</v>
      </c>
      <c r="J74" s="56">
        <f>J68*J$12/$C$3-I74-H74-G74-F74-E74</f>
        <v>0.16708185000000003</v>
      </c>
      <c r="K74" s="56">
        <f>K68*K$12/$C$3-J74-I74-H74-G74-F74-E74</f>
        <v>0.21720640500000005</v>
      </c>
      <c r="L74" s="56">
        <f>L68*L$12/$C$3-K74-J74-I74-H74-G74-F74-E74</f>
        <v>0.28236832649999999</v>
      </c>
      <c r="M74" s="56">
        <f>M68*M$12/$C$3-L74-K74-J74-I74-H74-G74-F74-E74</f>
        <v>0.36707882445000017</v>
      </c>
      <c r="N74" s="56">
        <f>N68*N$12/$C$3-M74-L74-K74-J74-I74-H74-G74-F74-E74</f>
        <v>0.47720247178500025</v>
      </c>
      <c r="R74" s="42"/>
    </row>
    <row r="75" spans="2:18" ht="15" customHeight="1" x14ac:dyDescent="0.45">
      <c r="B75" s="59"/>
      <c r="C75" s="67"/>
      <c r="D75" s="55" t="s">
        <v>46</v>
      </c>
      <c r="E75" s="57"/>
      <c r="F75" s="57"/>
      <c r="G75" s="57"/>
      <c r="H75" s="57"/>
      <c r="I75" s="57">
        <f>SUM(E74:I74)/5</f>
        <v>8.1387899999999985E-2</v>
      </c>
      <c r="J75" s="57"/>
      <c r="K75" s="57"/>
      <c r="L75" s="57"/>
      <c r="M75" s="57"/>
      <c r="N75" s="57">
        <f>SUM(E74:N74)/10</f>
        <v>0.19178773777350003</v>
      </c>
      <c r="R75" s="42"/>
    </row>
    <row r="76" spans="2:18" ht="15" customHeight="1" x14ac:dyDescent="0.45">
      <c r="B76" s="59"/>
      <c r="C76" s="59"/>
      <c r="D76" s="60" t="s">
        <v>49</v>
      </c>
      <c r="E76" s="63">
        <f>E78</f>
        <v>45000</v>
      </c>
      <c r="F76" s="63">
        <f>F78-E78</f>
        <v>58499.999999999985</v>
      </c>
      <c r="G76" s="63">
        <f t="shared" ref="G76:N76" si="29">G78-F78</f>
        <v>76049.999999999985</v>
      </c>
      <c r="H76" s="63">
        <f t="shared" si="29"/>
        <v>98864.999999999971</v>
      </c>
      <c r="I76" s="63">
        <f t="shared" si="29"/>
        <v>128524.5</v>
      </c>
      <c r="J76" s="63">
        <f t="shared" si="29"/>
        <v>167081.85000000003</v>
      </c>
      <c r="K76" s="63">
        <f t="shared" si="29"/>
        <v>217206.40500000003</v>
      </c>
      <c r="L76" s="63">
        <f t="shared" si="29"/>
        <v>282368.32649999985</v>
      </c>
      <c r="M76" s="63">
        <f t="shared" si="29"/>
        <v>367078.82445000019</v>
      </c>
      <c r="N76" s="63">
        <f t="shared" si="29"/>
        <v>477202.47178500006</v>
      </c>
      <c r="R76" s="42"/>
    </row>
    <row r="77" spans="2:18" ht="15" customHeight="1" x14ac:dyDescent="0.45">
      <c r="B77" s="59"/>
      <c r="C77" s="59"/>
      <c r="D77" s="60" t="s">
        <v>51</v>
      </c>
      <c r="E77" s="63"/>
      <c r="F77" s="63"/>
      <c r="G77" s="63"/>
      <c r="H77" s="63"/>
      <c r="I77" s="63">
        <f>SUM(E76:I76)/5</f>
        <v>81387.899999999994</v>
      </c>
      <c r="J77" s="63"/>
      <c r="K77" s="63"/>
      <c r="L77" s="63"/>
      <c r="M77" s="63"/>
      <c r="N77" s="63">
        <f>SUM(E76:N76)/10</f>
        <v>191787.7377735</v>
      </c>
      <c r="R77" s="42"/>
    </row>
    <row r="78" spans="2:18" ht="15" customHeight="1" x14ac:dyDescent="0.45">
      <c r="B78" s="59"/>
      <c r="C78" s="59"/>
      <c r="D78" s="60" t="s">
        <v>50</v>
      </c>
      <c r="E78" s="62">
        <f>E70*E$12</f>
        <v>45000</v>
      </c>
      <c r="F78" s="62">
        <f>F70*F$12</f>
        <v>103499.99999999999</v>
      </c>
      <c r="G78" s="62">
        <f>G70*G$12</f>
        <v>179549.99999999997</v>
      </c>
      <c r="H78" s="62">
        <f>H70*H$12</f>
        <v>278414.99999999994</v>
      </c>
      <c r="I78" s="62">
        <f>I70*I$12</f>
        <v>406939.49999999994</v>
      </c>
      <c r="J78" s="62">
        <f>J70*J$12</f>
        <v>574021.35</v>
      </c>
      <c r="K78" s="62">
        <f>K70*K$12</f>
        <v>791227.755</v>
      </c>
      <c r="L78" s="62">
        <f>L70*L$12</f>
        <v>1073596.0814999999</v>
      </c>
      <c r="M78" s="62">
        <f>M70*M$12</f>
        <v>1440674.90595</v>
      </c>
      <c r="N78" s="62">
        <f>N70*N$12</f>
        <v>1917877.3777350001</v>
      </c>
      <c r="R78" s="42"/>
    </row>
    <row r="79" spans="2:18" ht="15" customHeight="1" x14ac:dyDescent="0.45">
      <c r="B79" s="59" t="s">
        <v>41</v>
      </c>
      <c r="C79" s="67" t="s">
        <v>37</v>
      </c>
      <c r="D79" s="55" t="s">
        <v>42</v>
      </c>
      <c r="E79" s="56">
        <f>E$18*$C$7</f>
        <v>3.0000000000000001E-3</v>
      </c>
      <c r="F79" s="56">
        <f>F$18*$C$7</f>
        <v>3.0000000000000001E-3</v>
      </c>
      <c r="G79" s="56">
        <f>G$18*$C$7</f>
        <v>3.0000000000000001E-3</v>
      </c>
      <c r="H79" s="56">
        <f>H$18*$C$7</f>
        <v>3.0000000000000001E-3</v>
      </c>
      <c r="I79" s="56">
        <f>I$18*$C$7</f>
        <v>3.0000000000000001E-3</v>
      </c>
      <c r="J79" s="56">
        <f>J$18*$C$7</f>
        <v>3.0000000000000001E-3</v>
      </c>
      <c r="K79" s="56">
        <f>K$18*$C$7</f>
        <v>3.0000000000000001E-3</v>
      </c>
      <c r="L79" s="56">
        <f>L$18*$C$7</f>
        <v>3.0000000000000001E-3</v>
      </c>
      <c r="M79" s="56">
        <f>M$18*$C$7</f>
        <v>3.0000000000000001E-3</v>
      </c>
      <c r="N79" s="56">
        <f>N$18*$C$7</f>
        <v>3.0000000000000001E-3</v>
      </c>
      <c r="R79" s="42"/>
    </row>
    <row r="80" spans="2:18" ht="15" customHeight="1" x14ac:dyDescent="0.45">
      <c r="B80" s="59"/>
      <c r="C80" s="67"/>
      <c r="D80" s="55" t="s">
        <v>44</v>
      </c>
      <c r="E80" s="56">
        <f>E$19*$C$7</f>
        <v>3.0000000000000001E-3</v>
      </c>
      <c r="F80" s="56">
        <f>F$19*$C$7</f>
        <v>6.0000000000000001E-3</v>
      </c>
      <c r="G80" s="56">
        <f>G$19*$C$7</f>
        <v>8.9999999999999993E-3</v>
      </c>
      <c r="H80" s="56">
        <f>H$19*$C$7</f>
        <v>1.2E-2</v>
      </c>
      <c r="I80" s="56">
        <f>I$19*$C$7</f>
        <v>1.4999999999999999E-2</v>
      </c>
      <c r="J80" s="56">
        <f>J$19*$C$7</f>
        <v>1.8000000000000002E-2</v>
      </c>
      <c r="K80" s="56">
        <f>K$19*$C$7</f>
        <v>2.1000000000000001E-2</v>
      </c>
      <c r="L80" s="56">
        <f>L$19*$C$7</f>
        <v>2.4E-2</v>
      </c>
      <c r="M80" s="56">
        <f>M$19*$C$7</f>
        <v>2.7E-2</v>
      </c>
      <c r="N80" s="56">
        <f>N$19*$C$7</f>
        <v>2.9999999999999995E-2</v>
      </c>
      <c r="R80" s="42"/>
    </row>
    <row r="81" spans="1:18" ht="15" customHeight="1" x14ac:dyDescent="0.45">
      <c r="B81" s="59"/>
      <c r="C81" s="59"/>
      <c r="D81" s="60" t="s">
        <v>47</v>
      </c>
      <c r="E81" s="61">
        <f>10*E79</f>
        <v>0.03</v>
      </c>
      <c r="F81" s="61">
        <f t="shared" ref="F81:N81" si="30">10*F79</f>
        <v>0.03</v>
      </c>
      <c r="G81" s="61">
        <f t="shared" si="30"/>
        <v>0.03</v>
      </c>
      <c r="H81" s="61">
        <f t="shared" si="30"/>
        <v>0.03</v>
      </c>
      <c r="I81" s="61">
        <f t="shared" si="30"/>
        <v>0.03</v>
      </c>
      <c r="J81" s="61">
        <f t="shared" si="30"/>
        <v>0.03</v>
      </c>
      <c r="K81" s="61">
        <f t="shared" si="30"/>
        <v>0.03</v>
      </c>
      <c r="L81" s="61">
        <f t="shared" si="30"/>
        <v>0.03</v>
      </c>
      <c r="M81" s="61">
        <f t="shared" si="30"/>
        <v>0.03</v>
      </c>
      <c r="N81" s="61">
        <f t="shared" si="30"/>
        <v>0.03</v>
      </c>
      <c r="R81" s="42"/>
    </row>
    <row r="82" spans="1:18" ht="15" customHeight="1" x14ac:dyDescent="0.45">
      <c r="B82" s="59"/>
      <c r="C82" s="59"/>
      <c r="D82" s="60" t="s">
        <v>48</v>
      </c>
      <c r="E82" s="61">
        <f>10*E80</f>
        <v>0.03</v>
      </c>
      <c r="F82" s="61">
        <f t="shared" ref="F82:N82" si="31">10*F80</f>
        <v>0.06</v>
      </c>
      <c r="G82" s="61">
        <f t="shared" si="31"/>
        <v>0.09</v>
      </c>
      <c r="H82" s="61">
        <f t="shared" si="31"/>
        <v>0.12</v>
      </c>
      <c r="I82" s="61">
        <f t="shared" si="31"/>
        <v>0.15</v>
      </c>
      <c r="J82" s="61">
        <f t="shared" si="31"/>
        <v>0.18000000000000002</v>
      </c>
      <c r="K82" s="61">
        <f t="shared" si="31"/>
        <v>0.21000000000000002</v>
      </c>
      <c r="L82" s="61">
        <f t="shared" si="31"/>
        <v>0.24</v>
      </c>
      <c r="M82" s="61">
        <f t="shared" si="31"/>
        <v>0.27</v>
      </c>
      <c r="N82" s="61">
        <f t="shared" si="31"/>
        <v>0.29999999999999993</v>
      </c>
      <c r="R82" s="42"/>
    </row>
    <row r="83" spans="1:18" ht="15" customHeight="1" x14ac:dyDescent="0.45">
      <c r="B83" s="59"/>
      <c r="C83" s="67" t="s">
        <v>38</v>
      </c>
      <c r="D83" s="55" t="s">
        <v>45</v>
      </c>
      <c r="E83" s="56">
        <f>E$12*E79/$C$3</f>
        <v>3.8999999999999998E-3</v>
      </c>
      <c r="F83" s="56">
        <f>F$12*F79/$C$3</f>
        <v>5.0699999999999999E-3</v>
      </c>
      <c r="G83" s="56">
        <f>G$12*G79/$C$3</f>
        <v>6.5910000000000005E-3</v>
      </c>
      <c r="H83" s="56">
        <f>H$12*H79/$C$3</f>
        <v>8.5683000000000009E-3</v>
      </c>
      <c r="I83" s="56">
        <f>I$12*I79/$C$3</f>
        <v>1.1138790000000001E-2</v>
      </c>
      <c r="J83" s="56">
        <f>J$12*J79/$C$3</f>
        <v>1.4480427000000002E-2</v>
      </c>
      <c r="K83" s="56">
        <f>K$12*K79/$C$3</f>
        <v>1.8824555100000001E-2</v>
      </c>
      <c r="L83" s="56">
        <f>L$12*L79/$C$3</f>
        <v>2.4471921630000001E-2</v>
      </c>
      <c r="M83" s="56">
        <f>M$12*M79/$C$3</f>
        <v>3.1813498119000007E-2</v>
      </c>
      <c r="N83" s="56">
        <f>N$12*N79/$C$3</f>
        <v>4.1357547554700003E-2</v>
      </c>
      <c r="R83" s="42"/>
    </row>
    <row r="84" spans="1:18" ht="15" customHeight="1" x14ac:dyDescent="0.45">
      <c r="A84" s="44"/>
      <c r="B84" s="59"/>
      <c r="C84" s="67"/>
      <c r="D84" s="55" t="s">
        <v>46</v>
      </c>
      <c r="E84" s="56"/>
      <c r="F84" s="56"/>
      <c r="G84" s="56"/>
      <c r="H84" s="56"/>
      <c r="I84" s="57">
        <f>SUM(E83:I83)/5</f>
        <v>7.0536180000000002E-3</v>
      </c>
      <c r="J84" s="57"/>
      <c r="K84" s="57"/>
      <c r="L84" s="57"/>
      <c r="M84" s="57"/>
      <c r="N84" s="57">
        <f>SUM(E83:N83)/10</f>
        <v>1.6621603940370003E-2</v>
      </c>
      <c r="O84" s="44"/>
    </row>
    <row r="85" spans="1:18" ht="15" customHeight="1" x14ac:dyDescent="0.45">
      <c r="B85" s="59"/>
      <c r="C85" s="59"/>
      <c r="D85" s="60" t="s">
        <v>49</v>
      </c>
      <c r="E85" s="64">
        <f>E81*E$12</f>
        <v>3900</v>
      </c>
      <c r="F85" s="64">
        <f>F81*F$12</f>
        <v>5070</v>
      </c>
      <c r="G85" s="64">
        <f>G81*G$12</f>
        <v>6591</v>
      </c>
      <c r="H85" s="64">
        <f>H81*H$12</f>
        <v>8568.2999999999993</v>
      </c>
      <c r="I85" s="64">
        <f>I81*I$12</f>
        <v>11138.789999999999</v>
      </c>
      <c r="J85" s="64">
        <f>J81*J$12</f>
        <v>14480.427</v>
      </c>
      <c r="K85" s="64">
        <f>K81*K$12</f>
        <v>18824.555100000001</v>
      </c>
      <c r="L85" s="64">
        <f>L81*L$12</f>
        <v>24471.921630000001</v>
      </c>
      <c r="M85" s="64">
        <f>M81*M$12</f>
        <v>31813.498119000003</v>
      </c>
      <c r="N85" s="64">
        <f>N81*N$12</f>
        <v>41357.547554700002</v>
      </c>
    </row>
    <row r="86" spans="1:18" ht="15" customHeight="1" x14ac:dyDescent="0.45">
      <c r="B86" s="59"/>
      <c r="C86" s="59"/>
      <c r="D86" s="60" t="s">
        <v>51</v>
      </c>
      <c r="E86" s="65"/>
      <c r="F86" s="65"/>
      <c r="G86" s="65"/>
      <c r="H86" s="65"/>
      <c r="I86" s="64">
        <f>SUM(E85:I85)/5</f>
        <v>7053.6179999999995</v>
      </c>
      <c r="J86" s="64"/>
      <c r="K86" s="64"/>
      <c r="L86" s="64"/>
      <c r="M86" s="64"/>
      <c r="N86" s="64">
        <f>SUM(E85:N85)/10</f>
        <v>16621.603940369998</v>
      </c>
    </row>
    <row r="87" spans="1:18" ht="15" customHeight="1" x14ac:dyDescent="0.45">
      <c r="B87" s="59"/>
      <c r="C87" s="59"/>
      <c r="D87" s="60" t="s">
        <v>50</v>
      </c>
      <c r="E87" s="65">
        <f>E85</f>
        <v>3900</v>
      </c>
      <c r="F87" s="65">
        <f t="shared" ref="F87:N87" si="32">E87+F85</f>
        <v>8970</v>
      </c>
      <c r="G87" s="65">
        <f t="shared" si="32"/>
        <v>15561</v>
      </c>
      <c r="H87" s="65">
        <f t="shared" si="32"/>
        <v>24129.3</v>
      </c>
      <c r="I87" s="65">
        <f t="shared" si="32"/>
        <v>35268.089999999997</v>
      </c>
      <c r="J87" s="65">
        <f t="shared" si="32"/>
        <v>49748.516999999993</v>
      </c>
      <c r="K87" s="65">
        <f t="shared" si="32"/>
        <v>68573.07209999999</v>
      </c>
      <c r="L87" s="65">
        <f t="shared" si="32"/>
        <v>93044.993729999987</v>
      </c>
      <c r="M87" s="65">
        <f t="shared" si="32"/>
        <v>124858.49184899998</v>
      </c>
      <c r="N87" s="65">
        <f t="shared" si="32"/>
        <v>166216.03940369998</v>
      </c>
    </row>
    <row r="88" spans="1:18" ht="15" customHeight="1" x14ac:dyDescent="0.45">
      <c r="B88" s="59"/>
      <c r="C88" s="67" t="s">
        <v>39</v>
      </c>
      <c r="D88" s="55" t="s">
        <v>45</v>
      </c>
      <c r="E88" s="56">
        <f>E80*E$12/$C$3</f>
        <v>3.8999999999999998E-3</v>
      </c>
      <c r="F88" s="56">
        <f>F80*F$12/$C$3-E88</f>
        <v>6.2399999999999999E-3</v>
      </c>
      <c r="G88" s="56">
        <f>G80*G$12/$C$3-F88-E88</f>
        <v>9.6329999999999992E-3</v>
      </c>
      <c r="H88" s="56">
        <f>H80*H$12/$C$3-G88-F88-E88</f>
        <v>1.4500200000000005E-2</v>
      </c>
      <c r="I88" s="56">
        <f>I80*I$12/$C$3-H88-G88-F88-E88</f>
        <v>2.1420749999999985E-2</v>
      </c>
      <c r="J88" s="56">
        <f>J80*J$12/$C$3-I88-H88-G88-F88-E88</f>
        <v>3.1188612000000011E-2</v>
      </c>
      <c r="K88" s="56">
        <f>K80*K$12/$C$3-J88-I88-H88-G88-F88-E88</f>
        <v>4.4889323700000004E-2</v>
      </c>
      <c r="L88" s="56">
        <f>L80*L$12/$C$3-K88-J88-I88-H88-G88-F88-E88</f>
        <v>6.4003487339999998E-2</v>
      </c>
      <c r="M88" s="56">
        <f>M80*M$12/$C$3-L88-K88-J88-I88-H88-G88-F88-E88</f>
        <v>9.0546110031000021E-2</v>
      </c>
      <c r="N88" s="56">
        <f>N80*N$12/$C$3-M88-L88-K88-J88-I88-H88-G88-F88-E88</f>
        <v>0.12725399247599994</v>
      </c>
    </row>
    <row r="89" spans="1:18" ht="15" customHeight="1" x14ac:dyDescent="0.45">
      <c r="B89" s="59"/>
      <c r="C89" s="67"/>
      <c r="D89" s="55" t="s">
        <v>46</v>
      </c>
      <c r="E89" s="57"/>
      <c r="F89" s="57"/>
      <c r="G89" s="57"/>
      <c r="H89" s="57"/>
      <c r="I89" s="57">
        <f>SUM(E88:I88)/5</f>
        <v>1.1138789999999999E-2</v>
      </c>
      <c r="J89" s="57"/>
      <c r="K89" s="57"/>
      <c r="L89" s="57"/>
      <c r="M89" s="57"/>
      <c r="N89" s="57">
        <f>SUM(E88:N88)/10</f>
        <v>4.1357547554699996E-2</v>
      </c>
      <c r="O89" s="45"/>
    </row>
    <row r="90" spans="1:18" ht="15" customHeight="1" x14ac:dyDescent="0.45">
      <c r="B90" s="59"/>
      <c r="C90" s="59"/>
      <c r="D90" s="60" t="s">
        <v>49</v>
      </c>
      <c r="E90" s="64">
        <f>E92</f>
        <v>3900</v>
      </c>
      <c r="F90" s="64">
        <f>F92-E92</f>
        <v>6240</v>
      </c>
      <c r="G90" s="64">
        <f>G92-F92</f>
        <v>9633</v>
      </c>
      <c r="H90" s="64">
        <f t="shared" ref="H90:N90" si="33">H92-G92</f>
        <v>14500.199999999997</v>
      </c>
      <c r="I90" s="64">
        <f t="shared" si="33"/>
        <v>21420.75</v>
      </c>
      <c r="J90" s="64">
        <f t="shared" si="33"/>
        <v>31188.612000000023</v>
      </c>
      <c r="K90" s="64">
        <f t="shared" si="33"/>
        <v>44889.323699999994</v>
      </c>
      <c r="L90" s="64">
        <f t="shared" si="33"/>
        <v>64003.487339999992</v>
      </c>
      <c r="M90" s="64">
        <f t="shared" si="33"/>
        <v>90546.110031000018</v>
      </c>
      <c r="N90" s="64">
        <f t="shared" si="33"/>
        <v>127253.99247599993</v>
      </c>
      <c r="O90" s="41"/>
    </row>
    <row r="91" spans="1:18" ht="15" customHeight="1" x14ac:dyDescent="0.45">
      <c r="B91" s="59"/>
      <c r="C91" s="59"/>
      <c r="D91" s="60" t="s">
        <v>51</v>
      </c>
      <c r="E91" s="64"/>
      <c r="F91" s="64"/>
      <c r="G91" s="64"/>
      <c r="H91" s="64"/>
      <c r="I91" s="64">
        <f>SUM(E90:I90)/5</f>
        <v>11138.789999999999</v>
      </c>
      <c r="J91" s="64"/>
      <c r="K91" s="64"/>
      <c r="L91" s="64"/>
      <c r="M91" s="64"/>
      <c r="N91" s="64">
        <f>SUM(E90:N90)/10</f>
        <v>41357.547554699995</v>
      </c>
      <c r="O91" s="45"/>
    </row>
    <row r="92" spans="1:18" ht="15" customHeight="1" x14ac:dyDescent="0.45">
      <c r="B92" s="59"/>
      <c r="C92" s="59"/>
      <c r="D92" s="60" t="s">
        <v>50</v>
      </c>
      <c r="E92" s="65">
        <f>E82*E$12</f>
        <v>3900</v>
      </c>
      <c r="F92" s="65">
        <f>F82*F$12</f>
        <v>10140</v>
      </c>
      <c r="G92" s="65">
        <f>G82*G$12</f>
        <v>19773</v>
      </c>
      <c r="H92" s="65">
        <f>H82*H$12</f>
        <v>34273.199999999997</v>
      </c>
      <c r="I92" s="65">
        <f>I82*I$12</f>
        <v>55693.95</v>
      </c>
      <c r="J92" s="65">
        <f>J82*J$12</f>
        <v>86882.56200000002</v>
      </c>
      <c r="K92" s="65">
        <f>K82*K$12</f>
        <v>131771.88570000001</v>
      </c>
      <c r="L92" s="65">
        <f>L82*L$12</f>
        <v>195775.37304000001</v>
      </c>
      <c r="M92" s="65">
        <f>M82*M$12</f>
        <v>286321.48307100002</v>
      </c>
      <c r="N92" s="65">
        <f>N82*N$12</f>
        <v>413575.47554699995</v>
      </c>
      <c r="O92" s="45"/>
    </row>
    <row r="93" spans="1:18" ht="15" customHeight="1" x14ac:dyDescent="0.45">
      <c r="B93" s="66" t="s">
        <v>52</v>
      </c>
      <c r="C93" s="67" t="s">
        <v>37</v>
      </c>
      <c r="D93" s="55" t="s">
        <v>42</v>
      </c>
      <c r="E93" s="56">
        <f>E66+E79</f>
        <v>3.761538461538462E-2</v>
      </c>
      <c r="F93" s="56">
        <f t="shared" ref="F93:N93" si="34">F66+F79</f>
        <v>2.9627218934911236E-2</v>
      </c>
      <c r="G93" s="56">
        <f t="shared" si="34"/>
        <v>2.3482476103777874E-2</v>
      </c>
      <c r="H93" s="56">
        <f t="shared" si="34"/>
        <v>1.8755750849059907E-2</v>
      </c>
      <c r="I93" s="56">
        <f t="shared" si="34"/>
        <v>1.51198083454307E-2</v>
      </c>
      <c r="J93" s="56">
        <f t="shared" si="34"/>
        <v>1.2322929496485165E-2</v>
      </c>
      <c r="K93" s="56">
        <f t="shared" si="34"/>
        <v>1.0171484228065495E-2</v>
      </c>
      <c r="L93" s="56">
        <f t="shared" si="34"/>
        <v>8.5165263292811579E-3</v>
      </c>
      <c r="M93" s="56">
        <f t="shared" si="34"/>
        <v>7.2434817917547273E-3</v>
      </c>
      <c r="N93" s="56">
        <f t="shared" si="34"/>
        <v>6.2642167628882556E-3</v>
      </c>
      <c r="O93" s="45"/>
    </row>
    <row r="94" spans="1:18" ht="15" customHeight="1" x14ac:dyDescent="0.45">
      <c r="B94" s="66"/>
      <c r="C94" s="67"/>
      <c r="D94" s="55" t="s">
        <v>43</v>
      </c>
      <c r="E94" s="56"/>
      <c r="F94" s="56"/>
      <c r="G94" s="56"/>
      <c r="H94" s="56"/>
      <c r="I94" s="115">
        <f>SUM(E93:I93)/5</f>
        <v>2.4920127769712867E-2</v>
      </c>
      <c r="J94" s="56"/>
      <c r="K94" s="56"/>
      <c r="L94" s="56"/>
      <c r="M94" s="56"/>
      <c r="N94" s="57">
        <f>SUM(E93:N93)/10</f>
        <v>1.6911927745703909E-2</v>
      </c>
      <c r="O94" s="45"/>
    </row>
    <row r="95" spans="1:18" ht="15" customHeight="1" x14ac:dyDescent="0.45">
      <c r="B95" s="66"/>
      <c r="C95" s="67"/>
      <c r="D95" s="55" t="s">
        <v>44</v>
      </c>
      <c r="E95" s="56">
        <f>E68+E80</f>
        <v>3.761538461538462E-2</v>
      </c>
      <c r="F95" s="56">
        <f t="shared" ref="F95:N95" si="35">F68+F80</f>
        <v>6.7242603550295849E-2</v>
      </c>
      <c r="G95" s="56">
        <f t="shared" si="35"/>
        <v>9.0725079654073726E-2</v>
      </c>
      <c r="H95" s="56">
        <f t="shared" si="35"/>
        <v>0.10948083050313363</v>
      </c>
      <c r="I95" s="56">
        <f t="shared" si="35"/>
        <v>0.12460063884856433</v>
      </c>
      <c r="J95" s="56">
        <f t="shared" si="35"/>
        <v>0.13692356834504948</v>
      </c>
      <c r="K95" s="56">
        <f t="shared" si="35"/>
        <v>0.14709505257311498</v>
      </c>
      <c r="L95" s="56">
        <f t="shared" si="35"/>
        <v>0.15561157890239613</v>
      </c>
      <c r="M95" s="56">
        <f t="shared" si="35"/>
        <v>0.16285506069415087</v>
      </c>
      <c r="N95" s="56">
        <f t="shared" si="35"/>
        <v>0.16911927745703914</v>
      </c>
      <c r="O95" s="45"/>
    </row>
    <row r="96" spans="1:18" ht="15" customHeight="1" x14ac:dyDescent="0.45">
      <c r="B96" s="66"/>
      <c r="C96" s="59"/>
      <c r="D96" s="60" t="s">
        <v>47</v>
      </c>
      <c r="E96" s="61">
        <f>10*E93</f>
        <v>0.37615384615384617</v>
      </c>
      <c r="F96" s="61">
        <f t="shared" ref="F96:N96" si="36">10*F93</f>
        <v>0.29627218934911237</v>
      </c>
      <c r="G96" s="61">
        <f t="shared" si="36"/>
        <v>0.23482476103777875</v>
      </c>
      <c r="H96" s="61">
        <f t="shared" si="36"/>
        <v>0.18755750849059907</v>
      </c>
      <c r="I96" s="61">
        <f t="shared" si="36"/>
        <v>0.15119808345430699</v>
      </c>
      <c r="J96" s="61">
        <f t="shared" si="36"/>
        <v>0.12322929496485166</v>
      </c>
      <c r="K96" s="61">
        <f t="shared" si="36"/>
        <v>0.10171484228065494</v>
      </c>
      <c r="L96" s="61">
        <f t="shared" si="36"/>
        <v>8.5165263292811572E-2</v>
      </c>
      <c r="M96" s="61">
        <f t="shared" si="36"/>
        <v>7.2434817917547273E-2</v>
      </c>
      <c r="N96" s="61">
        <f t="shared" si="36"/>
        <v>6.2642167628882556E-2</v>
      </c>
      <c r="O96" s="45"/>
    </row>
    <row r="97" spans="1:15" ht="15" customHeight="1" x14ac:dyDescent="0.45">
      <c r="B97" s="66"/>
      <c r="C97" s="59"/>
      <c r="D97" s="60" t="s">
        <v>48</v>
      </c>
      <c r="E97" s="61">
        <f>10*E95</f>
        <v>0.37615384615384617</v>
      </c>
      <c r="F97" s="61">
        <f>10*F95</f>
        <v>0.67242603550295854</v>
      </c>
      <c r="G97" s="61">
        <f>10*G95</f>
        <v>0.90725079654073726</v>
      </c>
      <c r="H97" s="61">
        <f t="shared" ref="H97:N97" si="37">10*H95</f>
        <v>1.0948083050313364</v>
      </c>
      <c r="I97" s="61">
        <f t="shared" si="37"/>
        <v>1.2460063884856434</v>
      </c>
      <c r="J97" s="61">
        <f t="shared" si="37"/>
        <v>1.3692356834504948</v>
      </c>
      <c r="K97" s="61">
        <f t="shared" si="37"/>
        <v>1.4709505257311497</v>
      </c>
      <c r="L97" s="61">
        <f t="shared" si="37"/>
        <v>1.5561157890239614</v>
      </c>
      <c r="M97" s="61">
        <f t="shared" si="37"/>
        <v>1.6285506069415088</v>
      </c>
      <c r="N97" s="61">
        <f t="shared" si="37"/>
        <v>1.6911927745703914</v>
      </c>
      <c r="O97" s="45"/>
    </row>
    <row r="98" spans="1:15" ht="15" customHeight="1" x14ac:dyDescent="0.45">
      <c r="B98" s="66"/>
      <c r="C98" s="67" t="s">
        <v>38</v>
      </c>
      <c r="D98" s="55" t="s">
        <v>45</v>
      </c>
      <c r="E98" s="56">
        <f>E71+E83</f>
        <v>4.8899999999999999E-2</v>
      </c>
      <c r="F98" s="56">
        <f t="shared" ref="F98:N98" si="38">F71+F83</f>
        <v>5.006999999999999E-2</v>
      </c>
      <c r="G98" s="56">
        <f t="shared" si="38"/>
        <v>5.1590999999999991E-2</v>
      </c>
      <c r="H98" s="56">
        <f t="shared" si="38"/>
        <v>5.3568299999999999E-2</v>
      </c>
      <c r="I98" s="56">
        <f t="shared" si="38"/>
        <v>5.6138790000000015E-2</v>
      </c>
      <c r="J98" s="56">
        <f t="shared" si="38"/>
        <v>5.9480427000000079E-2</v>
      </c>
      <c r="K98" s="56">
        <f t="shared" si="38"/>
        <v>6.3824555099999958E-2</v>
      </c>
      <c r="L98" s="56">
        <f t="shared" si="38"/>
        <v>6.9471921630000016E-2</v>
      </c>
      <c r="M98" s="56">
        <f t="shared" si="38"/>
        <v>7.6813498118999929E-2</v>
      </c>
      <c r="N98" s="56">
        <f t="shared" si="38"/>
        <v>8.6357547554699973E-2</v>
      </c>
      <c r="O98" s="45"/>
    </row>
    <row r="99" spans="1:15" ht="15" customHeight="1" x14ac:dyDescent="0.45">
      <c r="B99" s="66"/>
      <c r="C99" s="67"/>
      <c r="D99" s="55" t="s">
        <v>46</v>
      </c>
      <c r="E99" s="56"/>
      <c r="F99" s="56"/>
      <c r="G99" s="56"/>
      <c r="H99" s="56"/>
      <c r="I99" s="57">
        <f>SUM(E98:I98)/5</f>
        <v>5.2053617999999989E-2</v>
      </c>
      <c r="J99" s="57"/>
      <c r="K99" s="57"/>
      <c r="L99" s="57"/>
      <c r="M99" s="57"/>
      <c r="N99" s="57">
        <f>SUM(E98:N98)/10</f>
        <v>6.1621603940369987E-2</v>
      </c>
    </row>
    <row r="100" spans="1:15" ht="15" customHeight="1" x14ac:dyDescent="0.45">
      <c r="B100" s="66"/>
      <c r="C100" s="59"/>
      <c r="D100" s="60" t="s">
        <v>49</v>
      </c>
      <c r="E100" s="63">
        <f>E96*E$12</f>
        <v>48900</v>
      </c>
      <c r="F100" s="63">
        <f>F96*F$12</f>
        <v>50069.999999999993</v>
      </c>
      <c r="G100" s="63">
        <f>G96*G$12</f>
        <v>51590.999999999993</v>
      </c>
      <c r="H100" s="63">
        <f>H96*H$12</f>
        <v>53568.3</v>
      </c>
      <c r="I100" s="63">
        <f>I96*I$12</f>
        <v>56138.790000000008</v>
      </c>
      <c r="J100" s="63">
        <f>J96*J$12</f>
        <v>59480.427000000069</v>
      </c>
      <c r="K100" s="63">
        <f>K96*K$12</f>
        <v>63824.555099999961</v>
      </c>
      <c r="L100" s="63">
        <f>L96*L$12</f>
        <v>69471.921630000026</v>
      </c>
      <c r="M100" s="63">
        <f>M96*M$12</f>
        <v>76813.498118999923</v>
      </c>
      <c r="N100" s="63">
        <f>N96*N$12</f>
        <v>86357.547554699981</v>
      </c>
      <c r="O100" s="45"/>
    </row>
    <row r="101" spans="1:15" ht="15" customHeight="1" x14ac:dyDescent="0.45">
      <c r="B101" s="66"/>
      <c r="C101" s="59"/>
      <c r="D101" s="60" t="s">
        <v>51</v>
      </c>
      <c r="E101" s="62"/>
      <c r="F101" s="62"/>
      <c r="G101" s="62"/>
      <c r="H101" s="62"/>
      <c r="I101" s="63">
        <f>SUM(E100:I100)/5</f>
        <v>52053.618000000002</v>
      </c>
      <c r="J101" s="63"/>
      <c r="K101" s="63"/>
      <c r="L101" s="63"/>
      <c r="M101" s="63"/>
      <c r="N101" s="63">
        <f>SUM(E100:N100)/10</f>
        <v>61621.603940369983</v>
      </c>
      <c r="O101" s="45"/>
    </row>
    <row r="102" spans="1:15" ht="15" customHeight="1" x14ac:dyDescent="0.45">
      <c r="B102" s="66"/>
      <c r="C102" s="59"/>
      <c r="D102" s="60" t="s">
        <v>50</v>
      </c>
      <c r="E102" s="62">
        <f>E100</f>
        <v>48900</v>
      </c>
      <c r="F102" s="62">
        <f t="shared" ref="F102:N102" si="39">E102+F100</f>
        <v>98970</v>
      </c>
      <c r="G102" s="62">
        <f t="shared" si="39"/>
        <v>150561</v>
      </c>
      <c r="H102" s="62">
        <f t="shared" si="39"/>
        <v>204129.3</v>
      </c>
      <c r="I102" s="62">
        <f t="shared" si="39"/>
        <v>260268.09</v>
      </c>
      <c r="J102" s="62">
        <f t="shared" si="39"/>
        <v>319748.51700000005</v>
      </c>
      <c r="K102" s="62">
        <f t="shared" si="39"/>
        <v>383573.07209999999</v>
      </c>
      <c r="L102" s="62">
        <f t="shared" si="39"/>
        <v>453044.99372999999</v>
      </c>
      <c r="M102" s="62">
        <f t="shared" si="39"/>
        <v>529858.49184899987</v>
      </c>
      <c r="N102" s="62">
        <f t="shared" si="39"/>
        <v>616216.0394036998</v>
      </c>
    </row>
    <row r="103" spans="1:15" ht="15" customHeight="1" x14ac:dyDescent="0.45">
      <c r="B103" s="66"/>
      <c r="C103" s="67" t="s">
        <v>39</v>
      </c>
      <c r="D103" s="55" t="s">
        <v>45</v>
      </c>
      <c r="E103" s="56">
        <f>E74+E88</f>
        <v>4.8899999999999999E-2</v>
      </c>
      <c r="F103" s="56">
        <f t="shared" ref="F103:N103" si="40">F74+F88</f>
        <v>6.4739999999999978E-2</v>
      </c>
      <c r="G103" s="56">
        <f t="shared" si="40"/>
        <v>8.5683000000000009E-2</v>
      </c>
      <c r="H103" s="56">
        <f t="shared" si="40"/>
        <v>0.11336519999999997</v>
      </c>
      <c r="I103" s="56">
        <f t="shared" si="40"/>
        <v>0.14994524999999997</v>
      </c>
      <c r="J103" s="56">
        <f t="shared" si="40"/>
        <v>0.19827046200000004</v>
      </c>
      <c r="K103" s="56">
        <f t="shared" si="40"/>
        <v>0.26209572870000003</v>
      </c>
      <c r="L103" s="56">
        <f t="shared" si="40"/>
        <v>0.34637181383999999</v>
      </c>
      <c r="M103" s="56">
        <f t="shared" si="40"/>
        <v>0.45762493448100017</v>
      </c>
      <c r="N103" s="56">
        <f t="shared" si="40"/>
        <v>0.60445646426100019</v>
      </c>
    </row>
    <row r="104" spans="1:15" ht="15" customHeight="1" x14ac:dyDescent="0.45">
      <c r="B104" s="66"/>
      <c r="C104" s="67"/>
      <c r="D104" s="55" t="s">
        <v>46</v>
      </c>
      <c r="E104" s="57"/>
      <c r="F104" s="57"/>
      <c r="G104" s="57"/>
      <c r="H104" s="57"/>
      <c r="I104" s="57">
        <f>SUM(E103:I103)/5</f>
        <v>9.2526689999999995E-2</v>
      </c>
      <c r="J104" s="57"/>
      <c r="K104" s="57"/>
      <c r="L104" s="57"/>
      <c r="M104" s="57"/>
      <c r="N104" s="57">
        <f>SUM(E103:N103)/10</f>
        <v>0.23314528532820003</v>
      </c>
    </row>
    <row r="105" spans="1:15" ht="15" customHeight="1" x14ac:dyDescent="0.45">
      <c r="B105" s="66"/>
      <c r="C105" s="59"/>
      <c r="D105" s="60" t="s">
        <v>49</v>
      </c>
      <c r="E105" s="63">
        <f>E107</f>
        <v>48900</v>
      </c>
      <c r="F105" s="63">
        <f>F107-E107</f>
        <v>64740</v>
      </c>
      <c r="G105" s="63">
        <f>G107-F107</f>
        <v>85682.999999999971</v>
      </c>
      <c r="H105" s="63">
        <f t="shared" ref="H105:N105" si="41">H107-G107</f>
        <v>113365.20000000004</v>
      </c>
      <c r="I105" s="63">
        <f t="shared" si="41"/>
        <v>149945.25</v>
      </c>
      <c r="J105" s="63">
        <f t="shared" si="41"/>
        <v>198270.462</v>
      </c>
      <c r="K105" s="63">
        <f t="shared" si="41"/>
        <v>262095.72869999986</v>
      </c>
      <c r="L105" s="63">
        <f t="shared" si="41"/>
        <v>346371.81384000019</v>
      </c>
      <c r="M105" s="63">
        <f t="shared" si="41"/>
        <v>457624.93448100006</v>
      </c>
      <c r="N105" s="63">
        <f t="shared" si="41"/>
        <v>604456.46426099981</v>
      </c>
    </row>
    <row r="106" spans="1:15" ht="15" customHeight="1" x14ac:dyDescent="0.45">
      <c r="B106" s="66"/>
      <c r="C106" s="59"/>
      <c r="D106" s="60" t="s">
        <v>51</v>
      </c>
      <c r="E106" s="63"/>
      <c r="F106" s="63"/>
      <c r="G106" s="63"/>
      <c r="H106" s="63"/>
      <c r="I106" s="63">
        <f>SUM(E105:I105)/5</f>
        <v>92526.69</v>
      </c>
      <c r="J106" s="63"/>
      <c r="K106" s="63"/>
      <c r="L106" s="63"/>
      <c r="M106" s="63"/>
      <c r="N106" s="63">
        <f>SUM(E105:N105)/10</f>
        <v>233145.2853282</v>
      </c>
    </row>
    <row r="107" spans="1:15" ht="15" customHeight="1" x14ac:dyDescent="0.45">
      <c r="B107" s="66"/>
      <c r="C107" s="59"/>
      <c r="D107" s="60" t="s">
        <v>50</v>
      </c>
      <c r="E107" s="62">
        <f>E97*E$12</f>
        <v>48900</v>
      </c>
      <c r="F107" s="62">
        <f>F97*F$12</f>
        <v>113640</v>
      </c>
      <c r="G107" s="62">
        <f>G97*G$12</f>
        <v>199322.99999999997</v>
      </c>
      <c r="H107" s="62">
        <f>H97*H$12</f>
        <v>312688.2</v>
      </c>
      <c r="I107" s="62">
        <f>I97*I$12</f>
        <v>462633.45</v>
      </c>
      <c r="J107" s="62">
        <f>J97*J$12</f>
        <v>660903.91200000001</v>
      </c>
      <c r="K107" s="62">
        <f>K97*K$12</f>
        <v>922999.64069999987</v>
      </c>
      <c r="L107" s="62">
        <f>L97*L$12</f>
        <v>1269371.4545400001</v>
      </c>
      <c r="M107" s="62">
        <f>M97*M$12</f>
        <v>1726996.3890210001</v>
      </c>
      <c r="N107" s="62">
        <f>N97*N$12</f>
        <v>2331452.8532819999</v>
      </c>
    </row>
    <row r="108" spans="1:15" ht="15" customHeight="1" x14ac:dyDescent="0.45">
      <c r="A108" s="23"/>
      <c r="B108" s="7"/>
      <c r="C108" s="103"/>
      <c r="D108" s="105"/>
      <c r="E108" s="106"/>
      <c r="F108" s="106"/>
      <c r="G108" s="106"/>
      <c r="H108" s="106"/>
      <c r="I108" s="106"/>
      <c r="J108" s="106"/>
      <c r="K108" s="106"/>
      <c r="L108" s="106"/>
      <c r="M108" s="106"/>
      <c r="N108" s="106"/>
      <c r="O108" s="23"/>
    </row>
    <row r="109" spans="1:15" ht="44.65" customHeight="1" x14ac:dyDescent="0.45">
      <c r="B109" s="96" t="s">
        <v>20</v>
      </c>
      <c r="C109" s="97"/>
      <c r="D109" s="98" t="str">
        <f>"Yield Allocation = "&amp;$C$8*100&amp;"%"&amp;CHAR(10) &amp; "Test Case = 10 BTC / "&amp;TEXT($C$3*10, "$###0.00,,")&amp;"M USD"</f>
        <v>Yield Allocation = 40%
Test Case = 10 BTC / $1.00M USD</v>
      </c>
      <c r="E109" s="89" t="s">
        <v>7</v>
      </c>
      <c r="F109" s="89" t="s">
        <v>8</v>
      </c>
      <c r="G109" s="89" t="s">
        <v>9</v>
      </c>
      <c r="H109" s="89" t="s">
        <v>10</v>
      </c>
      <c r="I109" s="89" t="s">
        <v>11</v>
      </c>
      <c r="J109" s="89" t="s">
        <v>12</v>
      </c>
      <c r="K109" s="89" t="s">
        <v>13</v>
      </c>
      <c r="L109" s="89" t="s">
        <v>14</v>
      </c>
      <c r="M109" s="89" t="s">
        <v>15</v>
      </c>
      <c r="N109" s="89" t="s">
        <v>16</v>
      </c>
    </row>
    <row r="110" spans="1:15" ht="15" customHeight="1" x14ac:dyDescent="0.45">
      <c r="B110" s="59" t="s">
        <v>40</v>
      </c>
      <c r="C110" s="67" t="s">
        <v>37</v>
      </c>
      <c r="D110" s="55" t="s">
        <v>42</v>
      </c>
      <c r="E110" s="56">
        <f>E$16*$C$8</f>
        <v>9.2307692307692313E-2</v>
      </c>
      <c r="F110" s="56">
        <f>F$16*$C$8</f>
        <v>7.1005917159763302E-2</v>
      </c>
      <c r="G110" s="56">
        <f>G$16*$C$8</f>
        <v>5.4619936276740999E-2</v>
      </c>
      <c r="H110" s="56">
        <f>H$16*$C$8</f>
        <v>4.2015335597493091E-2</v>
      </c>
      <c r="I110" s="56">
        <f>I$16*$C$8</f>
        <v>3.2319488921148533E-2</v>
      </c>
      <c r="J110" s="56">
        <f>J$16*$C$8</f>
        <v>2.4861145323960443E-2</v>
      </c>
      <c r="K110" s="56">
        <f>K$16*$C$8</f>
        <v>1.9123957941507987E-2</v>
      </c>
      <c r="L110" s="56">
        <f>L$16*$C$8</f>
        <v>1.4710736878083087E-2</v>
      </c>
      <c r="M110" s="56">
        <f>M$16*$C$8</f>
        <v>1.1315951444679274E-2</v>
      </c>
      <c r="N110" s="56">
        <f>N$16*$C$8</f>
        <v>8.7045780343686825E-3</v>
      </c>
    </row>
    <row r="111" spans="1:15" ht="15" customHeight="1" x14ac:dyDescent="0.45">
      <c r="B111" s="59"/>
      <c r="C111" s="67"/>
      <c r="D111" s="55" t="s">
        <v>43</v>
      </c>
      <c r="E111" s="56"/>
      <c r="F111" s="56"/>
      <c r="G111" s="56"/>
      <c r="H111" s="56"/>
      <c r="I111" s="57">
        <f>SUM(E110:I110)/5</f>
        <v>5.8453674052567649E-2</v>
      </c>
      <c r="J111" s="56"/>
      <c r="K111" s="56"/>
      <c r="L111" s="56"/>
      <c r="M111" s="56"/>
      <c r="N111" s="57">
        <f>SUM(E110:N110)/10</f>
        <v>3.7098473988543781E-2</v>
      </c>
    </row>
    <row r="112" spans="1:15" ht="15" customHeight="1" x14ac:dyDescent="0.45">
      <c r="B112" s="59"/>
      <c r="C112" s="67"/>
      <c r="D112" s="55" t="s">
        <v>44</v>
      </c>
      <c r="E112" s="56">
        <f>E$14*$C$8</f>
        <v>9.2307692307692313E-2</v>
      </c>
      <c r="F112" s="56">
        <f>F$14*$C$8</f>
        <v>0.16331360946745563</v>
      </c>
      <c r="G112" s="56">
        <f>G$14*$C$8</f>
        <v>0.21793354574419663</v>
      </c>
      <c r="H112" s="56">
        <f>H$14*$C$8</f>
        <v>0.2599488813416897</v>
      </c>
      <c r="I112" s="56">
        <f>I$14*$C$8</f>
        <v>0.29226837026283825</v>
      </c>
      <c r="J112" s="56">
        <f>J$14*$C$8</f>
        <v>0.31712951558679869</v>
      </c>
      <c r="K112" s="56">
        <f>K$14*$C$8</f>
        <v>0.3362534735283067</v>
      </c>
      <c r="L112" s="56">
        <f>L$14*$C$8</f>
        <v>0.35096421040638975</v>
      </c>
      <c r="M112" s="56">
        <f>M$14*$C$8</f>
        <v>0.36228016185106904</v>
      </c>
      <c r="N112" s="56">
        <f>N$14*$C$8</f>
        <v>0.37098473988543773</v>
      </c>
    </row>
    <row r="113" spans="2:14" ht="15" customHeight="1" x14ac:dyDescent="0.45">
      <c r="B113" s="59"/>
      <c r="C113" s="59"/>
      <c r="D113" s="60" t="s">
        <v>47</v>
      </c>
      <c r="E113" s="61">
        <f>10*E110</f>
        <v>0.92307692307692313</v>
      </c>
      <c r="F113" s="61">
        <f t="shared" ref="F113:N113" si="42">10*F110</f>
        <v>0.71005917159763299</v>
      </c>
      <c r="G113" s="61">
        <f t="shared" si="42"/>
        <v>0.54619936276740999</v>
      </c>
      <c r="H113" s="61">
        <f t="shared" si="42"/>
        <v>0.42015335597493092</v>
      </c>
      <c r="I113" s="61">
        <f t="shared" si="42"/>
        <v>0.32319488921148531</v>
      </c>
      <c r="J113" s="61">
        <f t="shared" si="42"/>
        <v>0.24861145323960443</v>
      </c>
      <c r="K113" s="61">
        <f t="shared" si="42"/>
        <v>0.19123957941507985</v>
      </c>
      <c r="L113" s="61">
        <f t="shared" si="42"/>
        <v>0.14710736878083086</v>
      </c>
      <c r="M113" s="61">
        <f t="shared" si="42"/>
        <v>0.11315951444679273</v>
      </c>
      <c r="N113" s="61">
        <f t="shared" si="42"/>
        <v>8.7045780343686818E-2</v>
      </c>
    </row>
    <row r="114" spans="2:14" ht="15" customHeight="1" x14ac:dyDescent="0.45">
      <c r="B114" s="59"/>
      <c r="C114" s="59"/>
      <c r="D114" s="60" t="s">
        <v>48</v>
      </c>
      <c r="E114" s="61">
        <f>10*E112</f>
        <v>0.92307692307692313</v>
      </c>
      <c r="F114" s="61">
        <f>10*F112</f>
        <v>1.6331360946745563</v>
      </c>
      <c r="G114" s="61">
        <f>10*G112</f>
        <v>2.1793354574419661</v>
      </c>
      <c r="H114" s="61">
        <f t="shared" ref="H114:N114" si="43">10*H112</f>
        <v>2.599488813416897</v>
      </c>
      <c r="I114" s="61">
        <f t="shared" si="43"/>
        <v>2.9226837026283823</v>
      </c>
      <c r="J114" s="61">
        <f t="shared" si="43"/>
        <v>3.1712951558679867</v>
      </c>
      <c r="K114" s="61">
        <f t="shared" si="43"/>
        <v>3.362534735283067</v>
      </c>
      <c r="L114" s="61">
        <f t="shared" si="43"/>
        <v>3.5096421040638974</v>
      </c>
      <c r="M114" s="61">
        <f t="shared" si="43"/>
        <v>3.6228016185106906</v>
      </c>
      <c r="N114" s="61">
        <f t="shared" si="43"/>
        <v>3.7098473988543774</v>
      </c>
    </row>
    <row r="115" spans="2:14" ht="15" customHeight="1" x14ac:dyDescent="0.45">
      <c r="B115" s="59"/>
      <c r="C115" s="67" t="s">
        <v>38</v>
      </c>
      <c r="D115" s="55" t="s">
        <v>45</v>
      </c>
      <c r="E115" s="56">
        <f>E110*E$12/$C$3</f>
        <v>0.12</v>
      </c>
      <c r="F115" s="56">
        <f>F110*F$12/$C$3</f>
        <v>0.11999999999999998</v>
      </c>
      <c r="G115" s="56">
        <f>G110*G$12/$C$3</f>
        <v>0.11999999999999998</v>
      </c>
      <c r="H115" s="56">
        <f>H110*H$12/$C$3</f>
        <v>0.12000000000000002</v>
      </c>
      <c r="I115" s="56">
        <f>I110*I$12/$C$3</f>
        <v>0.12000000000000002</v>
      </c>
      <c r="J115" s="56">
        <f>J110*J$12/$C$3</f>
        <v>0.12000000000000018</v>
      </c>
      <c r="K115" s="56">
        <f>K110*K$12/$C$3</f>
        <v>0.11999999999999988</v>
      </c>
      <c r="L115" s="56">
        <f>L110*L$12/$C$3</f>
        <v>0.12000000000000005</v>
      </c>
      <c r="M115" s="56">
        <f>M110*M$12/$C$3</f>
        <v>0.11999999999999982</v>
      </c>
      <c r="N115" s="56">
        <f>N110*N$12/$C$3</f>
        <v>0.11999999999999994</v>
      </c>
    </row>
    <row r="116" spans="2:14" ht="15" customHeight="1" x14ac:dyDescent="0.45">
      <c r="B116" s="59"/>
      <c r="C116" s="59"/>
      <c r="D116" s="60" t="s">
        <v>49</v>
      </c>
      <c r="E116" s="62">
        <f>E113*E$12</f>
        <v>120000</v>
      </c>
      <c r="F116" s="62">
        <f>F113*F$12</f>
        <v>119999.99999999997</v>
      </c>
      <c r="G116" s="62">
        <f>G113*G$12</f>
        <v>119999.99999999997</v>
      </c>
      <c r="H116" s="62">
        <f>H113*H$12</f>
        <v>120000.00000000001</v>
      </c>
      <c r="I116" s="62">
        <f>I113*I$12</f>
        <v>120000.00000000001</v>
      </c>
      <c r="J116" s="62">
        <f>J113*J$12</f>
        <v>120000.00000000019</v>
      </c>
      <c r="K116" s="62">
        <f>K113*K$12</f>
        <v>119999.99999999988</v>
      </c>
      <c r="L116" s="62">
        <f>L113*L$12</f>
        <v>120000.00000000006</v>
      </c>
      <c r="M116" s="62">
        <f>M113*M$12</f>
        <v>119999.99999999981</v>
      </c>
      <c r="N116" s="62">
        <f>N113*N$12</f>
        <v>119999.99999999994</v>
      </c>
    </row>
    <row r="117" spans="2:14" ht="15" customHeight="1" x14ac:dyDescent="0.45">
      <c r="B117" s="59"/>
      <c r="C117" s="59"/>
      <c r="D117" s="60" t="s">
        <v>50</v>
      </c>
      <c r="E117" s="62">
        <f>E116</f>
        <v>120000</v>
      </c>
      <c r="F117" s="62">
        <f>E117+F116</f>
        <v>239999.99999999997</v>
      </c>
      <c r="G117" s="62">
        <f t="shared" ref="G117" si="44">F117+G116</f>
        <v>359999.99999999994</v>
      </c>
      <c r="H117" s="62">
        <f t="shared" ref="H117" si="45">G117+H116</f>
        <v>479999.99999999994</v>
      </c>
      <c r="I117" s="62">
        <f t="shared" ref="I117" si="46">H117+I116</f>
        <v>600000</v>
      </c>
      <c r="J117" s="62">
        <f t="shared" ref="J117" si="47">I117+J116</f>
        <v>720000.00000000023</v>
      </c>
      <c r="K117" s="62">
        <f t="shared" ref="K117" si="48">J117+K116</f>
        <v>840000.00000000012</v>
      </c>
      <c r="L117" s="62">
        <f t="shared" ref="L117" si="49">K117+L116</f>
        <v>960000.00000000023</v>
      </c>
      <c r="M117" s="62">
        <f t="shared" ref="M117" si="50">L117+M116</f>
        <v>1080000</v>
      </c>
      <c r="N117" s="62">
        <f t="shared" ref="N117" si="51">M117+N116</f>
        <v>1200000</v>
      </c>
    </row>
    <row r="118" spans="2:14" ht="15" customHeight="1" x14ac:dyDescent="0.45">
      <c r="B118" s="59"/>
      <c r="C118" s="67" t="s">
        <v>39</v>
      </c>
      <c r="D118" s="55" t="s">
        <v>45</v>
      </c>
      <c r="E118" s="56">
        <f>E112*E$12/$C$3</f>
        <v>0.12</v>
      </c>
      <c r="F118" s="56">
        <f>F112*F$12/$C$3-E118</f>
        <v>0.15600000000000003</v>
      </c>
      <c r="G118" s="56">
        <f>G112*G$12/$C$3-F118-E118</f>
        <v>0.20279999999999998</v>
      </c>
      <c r="H118" s="56">
        <f>H112*H$12/$C$3-G118-F118-E118</f>
        <v>0.26363999999999999</v>
      </c>
      <c r="I118" s="56">
        <f>I112*I$12/$C$3-H118-G118-F118-E118</f>
        <v>0.34273200000000004</v>
      </c>
      <c r="J118" s="56">
        <f>J112*J$12/$C$3-I118-H118-G118-F118-E118</f>
        <v>0.44555160000000016</v>
      </c>
      <c r="K118" s="56">
        <f>K112*K$12/$C$3-J118-I118-H118-G118-F118-E118</f>
        <v>0.57921708000000038</v>
      </c>
      <c r="L118" s="56">
        <f>L112*L$12/$C$3-K118-J118-I118-H118-G118-F118-E118</f>
        <v>0.7529822039999996</v>
      </c>
      <c r="M118" s="56">
        <f>M112*M$12/$C$3-L118-K118-J118-I118-H118-G118-F118-E118</f>
        <v>0.97887686520000117</v>
      </c>
      <c r="N118" s="56">
        <f>N112*N$12/$C$3-M118-L118-K118-J118-I118-H118-G118-F118-E118</f>
        <v>1.2725399247600002</v>
      </c>
    </row>
    <row r="119" spans="2:14" ht="15" customHeight="1" x14ac:dyDescent="0.45">
      <c r="B119" s="59"/>
      <c r="C119" s="67"/>
      <c r="D119" s="55" t="s">
        <v>46</v>
      </c>
      <c r="E119" s="57"/>
      <c r="F119" s="57"/>
      <c r="G119" s="57"/>
      <c r="H119" s="57"/>
      <c r="I119" s="57">
        <f>SUM(E118:I118)/5</f>
        <v>0.21703440000000002</v>
      </c>
      <c r="J119" s="57"/>
      <c r="K119" s="57"/>
      <c r="L119" s="57"/>
      <c r="M119" s="57"/>
      <c r="N119" s="57">
        <f>SUM(E118:N118)/10</f>
        <v>0.51143396739600022</v>
      </c>
    </row>
    <row r="120" spans="2:14" ht="15" customHeight="1" x14ac:dyDescent="0.45">
      <c r="B120" s="59"/>
      <c r="C120" s="59"/>
      <c r="D120" s="60" t="s">
        <v>49</v>
      </c>
      <c r="E120" s="63">
        <f>E122</f>
        <v>120000</v>
      </c>
      <c r="F120" s="63">
        <f>F122-E122</f>
        <v>156000</v>
      </c>
      <c r="G120" s="63">
        <f t="shared" ref="G120:N120" si="52">G122-F122</f>
        <v>202799.99999999994</v>
      </c>
      <c r="H120" s="63">
        <f t="shared" si="52"/>
        <v>263640.00000000006</v>
      </c>
      <c r="I120" s="63">
        <f t="shared" si="52"/>
        <v>342732</v>
      </c>
      <c r="J120" s="63">
        <f t="shared" si="52"/>
        <v>445551.60000000009</v>
      </c>
      <c r="K120" s="63">
        <f t="shared" si="52"/>
        <v>579217.08000000054</v>
      </c>
      <c r="L120" s="63">
        <f t="shared" si="52"/>
        <v>752982.20399999944</v>
      </c>
      <c r="M120" s="63">
        <f t="shared" si="52"/>
        <v>978876.86520000082</v>
      </c>
      <c r="N120" s="63">
        <f t="shared" si="52"/>
        <v>1272539.9247599994</v>
      </c>
    </row>
    <row r="121" spans="2:14" ht="15" customHeight="1" x14ac:dyDescent="0.45">
      <c r="B121" s="59"/>
      <c r="C121" s="59"/>
      <c r="D121" s="60" t="s">
        <v>51</v>
      </c>
      <c r="E121" s="63"/>
      <c r="F121" s="63"/>
      <c r="G121" s="63"/>
      <c r="H121" s="63"/>
      <c r="I121" s="63">
        <f>SUM(E120:I120)/5</f>
        <v>217034.4</v>
      </c>
      <c r="J121" s="63"/>
      <c r="K121" s="63"/>
      <c r="L121" s="63"/>
      <c r="M121" s="63"/>
      <c r="N121" s="63">
        <f>SUM(E120:N120)/10</f>
        <v>511433.96739600005</v>
      </c>
    </row>
    <row r="122" spans="2:14" ht="15" customHeight="1" x14ac:dyDescent="0.45">
      <c r="B122" s="59"/>
      <c r="C122" s="59"/>
      <c r="D122" s="60" t="s">
        <v>50</v>
      </c>
      <c r="E122" s="62">
        <f>E114*E$12</f>
        <v>120000</v>
      </c>
      <c r="F122" s="62">
        <f>F114*F$12</f>
        <v>276000</v>
      </c>
      <c r="G122" s="62">
        <f>G114*G$12</f>
        <v>478799.99999999994</v>
      </c>
      <c r="H122" s="62">
        <f>H114*H$12</f>
        <v>742440</v>
      </c>
      <c r="I122" s="62">
        <f>I114*I$12</f>
        <v>1085172</v>
      </c>
      <c r="J122" s="62">
        <f>J114*J$12</f>
        <v>1530723.6</v>
      </c>
      <c r="K122" s="62">
        <f>K114*K$12</f>
        <v>2109940.6800000006</v>
      </c>
      <c r="L122" s="62">
        <f>L114*L$12</f>
        <v>2862922.8840000001</v>
      </c>
      <c r="M122" s="62">
        <f>M114*M$12</f>
        <v>3841799.7492000009</v>
      </c>
      <c r="N122" s="62">
        <f>N114*N$12</f>
        <v>5114339.6739600003</v>
      </c>
    </row>
    <row r="123" spans="2:14" ht="15" customHeight="1" x14ac:dyDescent="0.45">
      <c r="B123" s="59" t="s">
        <v>41</v>
      </c>
      <c r="C123" s="67" t="s">
        <v>37</v>
      </c>
      <c r="D123" s="55" t="s">
        <v>42</v>
      </c>
      <c r="E123" s="56">
        <f>E$18*$C$8</f>
        <v>8.0000000000000002E-3</v>
      </c>
      <c r="F123" s="56">
        <f>F$18*$C$8</f>
        <v>8.0000000000000002E-3</v>
      </c>
      <c r="G123" s="56">
        <f>G$18*$C$8</f>
        <v>8.0000000000000002E-3</v>
      </c>
      <c r="H123" s="56">
        <f>H$18*$C$8</f>
        <v>8.0000000000000002E-3</v>
      </c>
      <c r="I123" s="56">
        <f>I$18*$C$8</f>
        <v>8.0000000000000002E-3</v>
      </c>
      <c r="J123" s="56">
        <f>J$18*$C$8</f>
        <v>8.0000000000000002E-3</v>
      </c>
      <c r="K123" s="56">
        <f>K$18*$C$8</f>
        <v>8.0000000000000002E-3</v>
      </c>
      <c r="L123" s="56">
        <f>L$18*$C$8</f>
        <v>8.0000000000000002E-3</v>
      </c>
      <c r="M123" s="56">
        <f>M$18*$C$8</f>
        <v>8.0000000000000002E-3</v>
      </c>
      <c r="N123" s="56">
        <f>N$18*$C$8</f>
        <v>8.0000000000000002E-3</v>
      </c>
    </row>
    <row r="124" spans="2:14" ht="15" customHeight="1" x14ac:dyDescent="0.45">
      <c r="B124" s="59"/>
      <c r="C124" s="67"/>
      <c r="D124" s="55" t="s">
        <v>44</v>
      </c>
      <c r="E124" s="56">
        <f>E$19*$C$8</f>
        <v>8.0000000000000002E-3</v>
      </c>
      <c r="F124" s="56">
        <f>F$19*$C$8</f>
        <v>1.6E-2</v>
      </c>
      <c r="G124" s="56">
        <f>G$19*$C$8</f>
        <v>2.4E-2</v>
      </c>
      <c r="H124" s="56">
        <f>H$19*$C$8</f>
        <v>3.2000000000000001E-2</v>
      </c>
      <c r="I124" s="56">
        <f>I$19*$C$8</f>
        <v>4.0000000000000008E-2</v>
      </c>
      <c r="J124" s="56">
        <f>J$19*$C$8</f>
        <v>4.8000000000000008E-2</v>
      </c>
      <c r="K124" s="56">
        <f>K$19*$C$8</f>
        <v>5.6000000000000008E-2</v>
      </c>
      <c r="L124" s="56">
        <f>L$19*$C$8</f>
        <v>6.4000000000000001E-2</v>
      </c>
      <c r="M124" s="56">
        <f>M$19*$C$8</f>
        <v>7.1999999999999995E-2</v>
      </c>
      <c r="N124" s="56">
        <f>N$19*$C$8</f>
        <v>0.08</v>
      </c>
    </row>
    <row r="125" spans="2:14" ht="15" customHeight="1" x14ac:dyDescent="0.45">
      <c r="B125" s="59"/>
      <c r="C125" s="59"/>
      <c r="D125" s="60" t="s">
        <v>47</v>
      </c>
      <c r="E125" s="61">
        <f>10*E123</f>
        <v>0.08</v>
      </c>
      <c r="F125" s="61">
        <f t="shared" ref="F125:N125" si="53">10*F123</f>
        <v>0.08</v>
      </c>
      <c r="G125" s="61">
        <f t="shared" si="53"/>
        <v>0.08</v>
      </c>
      <c r="H125" s="61">
        <f t="shared" si="53"/>
        <v>0.08</v>
      </c>
      <c r="I125" s="61">
        <f t="shared" si="53"/>
        <v>0.08</v>
      </c>
      <c r="J125" s="61">
        <f t="shared" si="53"/>
        <v>0.08</v>
      </c>
      <c r="K125" s="61">
        <f t="shared" si="53"/>
        <v>0.08</v>
      </c>
      <c r="L125" s="61">
        <f t="shared" si="53"/>
        <v>0.08</v>
      </c>
      <c r="M125" s="61">
        <f t="shared" si="53"/>
        <v>0.08</v>
      </c>
      <c r="N125" s="61">
        <f t="shared" si="53"/>
        <v>0.08</v>
      </c>
    </row>
    <row r="126" spans="2:14" ht="15" customHeight="1" x14ac:dyDescent="0.45">
      <c r="B126" s="59"/>
      <c r="C126" s="59"/>
      <c r="D126" s="60" t="s">
        <v>48</v>
      </c>
      <c r="E126" s="61">
        <f>10*E124</f>
        <v>0.08</v>
      </c>
      <c r="F126" s="61">
        <f t="shared" ref="F126:N126" si="54">10*F124</f>
        <v>0.16</v>
      </c>
      <c r="G126" s="61">
        <f t="shared" si="54"/>
        <v>0.24</v>
      </c>
      <c r="H126" s="61">
        <f t="shared" si="54"/>
        <v>0.32</v>
      </c>
      <c r="I126" s="61">
        <f t="shared" si="54"/>
        <v>0.40000000000000008</v>
      </c>
      <c r="J126" s="61">
        <f t="shared" si="54"/>
        <v>0.48000000000000009</v>
      </c>
      <c r="K126" s="61">
        <f t="shared" si="54"/>
        <v>0.56000000000000005</v>
      </c>
      <c r="L126" s="61">
        <f t="shared" si="54"/>
        <v>0.64</v>
      </c>
      <c r="M126" s="61">
        <f t="shared" si="54"/>
        <v>0.72</v>
      </c>
      <c r="N126" s="61">
        <f t="shared" si="54"/>
        <v>0.8</v>
      </c>
    </row>
    <row r="127" spans="2:14" ht="15" customHeight="1" x14ac:dyDescent="0.45">
      <c r="B127" s="59"/>
      <c r="C127" s="67" t="s">
        <v>38</v>
      </c>
      <c r="D127" s="55" t="s">
        <v>45</v>
      </c>
      <c r="E127" s="56">
        <f>E$12*E123/$C$3</f>
        <v>1.04E-2</v>
      </c>
      <c r="F127" s="56">
        <f>F$12*F123/$C$3</f>
        <v>1.3520000000000001E-2</v>
      </c>
      <c r="G127" s="56">
        <f>G$12*G123/$C$3</f>
        <v>1.7576000000000001E-2</v>
      </c>
      <c r="H127" s="56">
        <f>H$12*H123/$C$3</f>
        <v>2.2848800000000002E-2</v>
      </c>
      <c r="I127" s="56">
        <f>I$12*I123/$C$3</f>
        <v>2.9703440000000001E-2</v>
      </c>
      <c r="J127" s="56">
        <f>J$12*J123/$C$3</f>
        <v>3.8614472000000004E-2</v>
      </c>
      <c r="K127" s="56">
        <f>K$12*K123/$C$3</f>
        <v>5.0198813600000003E-2</v>
      </c>
      <c r="L127" s="56">
        <f>L$12*L123/$C$3</f>
        <v>6.5258457680000007E-2</v>
      </c>
      <c r="M127" s="56">
        <f>M$12*M123/$C$3</f>
        <v>8.4835994984000004E-2</v>
      </c>
      <c r="N127" s="56">
        <f>N$12*N123/$C$3</f>
        <v>0.11028679347920001</v>
      </c>
    </row>
    <row r="128" spans="2:14" ht="15" customHeight="1" x14ac:dyDescent="0.45">
      <c r="B128" s="59"/>
      <c r="C128" s="67"/>
      <c r="D128" s="55" t="s">
        <v>46</v>
      </c>
      <c r="E128" s="56"/>
      <c r="F128" s="56"/>
      <c r="G128" s="56"/>
      <c r="H128" s="56"/>
      <c r="I128" s="57">
        <f>SUM(E127:I127)/5</f>
        <v>1.8809648000000002E-2</v>
      </c>
      <c r="J128" s="57"/>
      <c r="K128" s="57"/>
      <c r="L128" s="57"/>
      <c r="M128" s="57"/>
      <c r="N128" s="57">
        <f>SUM(E127:N127)/10</f>
        <v>4.4324277174320005E-2</v>
      </c>
    </row>
    <row r="129" spans="2:14" ht="15" customHeight="1" x14ac:dyDescent="0.45">
      <c r="B129" s="59"/>
      <c r="C129" s="59"/>
      <c r="D129" s="60" t="s">
        <v>49</v>
      </c>
      <c r="E129" s="64">
        <f>E125*E$12</f>
        <v>10400</v>
      </c>
      <c r="F129" s="64">
        <f>F125*F$12</f>
        <v>13520</v>
      </c>
      <c r="G129" s="64">
        <f>G125*G$12</f>
        <v>17576</v>
      </c>
      <c r="H129" s="64">
        <f>H125*H$12</f>
        <v>22848.799999999999</v>
      </c>
      <c r="I129" s="64">
        <f>I125*I$12</f>
        <v>29703.440000000002</v>
      </c>
      <c r="J129" s="64">
        <f>J125*J$12</f>
        <v>38614.472000000002</v>
      </c>
      <c r="K129" s="64">
        <f>K125*K$12</f>
        <v>50198.813600000001</v>
      </c>
      <c r="L129" s="64">
        <f>L125*L$12</f>
        <v>65258.45768</v>
      </c>
      <c r="M129" s="64">
        <f>M125*M$12</f>
        <v>84835.994984000004</v>
      </c>
      <c r="N129" s="64">
        <f>N125*N$12</f>
        <v>110286.7934792</v>
      </c>
    </row>
    <row r="130" spans="2:14" ht="15" customHeight="1" x14ac:dyDescent="0.45">
      <c r="B130" s="59"/>
      <c r="C130" s="59"/>
      <c r="D130" s="60" t="s">
        <v>51</v>
      </c>
      <c r="E130" s="65"/>
      <c r="F130" s="65"/>
      <c r="G130" s="65"/>
      <c r="H130" s="65"/>
      <c r="I130" s="64">
        <f>SUM(E129:I129)/5</f>
        <v>18809.648000000001</v>
      </c>
      <c r="J130" s="64"/>
      <c r="K130" s="64"/>
      <c r="L130" s="64"/>
      <c r="M130" s="64"/>
      <c r="N130" s="64">
        <f>SUM(E129:N129)/10</f>
        <v>44324.277174319999</v>
      </c>
    </row>
    <row r="131" spans="2:14" ht="15" customHeight="1" x14ac:dyDescent="0.45">
      <c r="B131" s="59"/>
      <c r="C131" s="59"/>
      <c r="D131" s="60" t="s">
        <v>50</v>
      </c>
      <c r="E131" s="65">
        <f>E129</f>
        <v>10400</v>
      </c>
      <c r="F131" s="65">
        <f t="shared" ref="F131:N131" si="55">E131+F129</f>
        <v>23920</v>
      </c>
      <c r="G131" s="65">
        <f t="shared" si="55"/>
        <v>41496</v>
      </c>
      <c r="H131" s="65">
        <f t="shared" si="55"/>
        <v>64344.800000000003</v>
      </c>
      <c r="I131" s="65">
        <f t="shared" si="55"/>
        <v>94048.24</v>
      </c>
      <c r="J131" s="65">
        <f t="shared" si="55"/>
        <v>132662.712</v>
      </c>
      <c r="K131" s="65">
        <f t="shared" si="55"/>
        <v>182861.52559999999</v>
      </c>
      <c r="L131" s="65">
        <f t="shared" si="55"/>
        <v>248119.98327999999</v>
      </c>
      <c r="M131" s="65">
        <f t="shared" si="55"/>
        <v>332955.97826399998</v>
      </c>
      <c r="N131" s="65">
        <f t="shared" si="55"/>
        <v>443242.77174319996</v>
      </c>
    </row>
    <row r="132" spans="2:14" ht="15" customHeight="1" x14ac:dyDescent="0.45">
      <c r="B132" s="59"/>
      <c r="C132" s="67" t="s">
        <v>39</v>
      </c>
      <c r="D132" s="55" t="s">
        <v>45</v>
      </c>
      <c r="E132" s="56">
        <f>E124*E$12/$C$3</f>
        <v>1.04E-2</v>
      </c>
      <c r="F132" s="56">
        <f>F124*F$12/$C$3-E132</f>
        <v>1.6640000000000002E-2</v>
      </c>
      <c r="G132" s="56">
        <f>G124*G$12/$C$3-F132-E132</f>
        <v>2.5688000000000002E-2</v>
      </c>
      <c r="H132" s="56">
        <f>H124*H$12/$C$3-G132-F132-E132</f>
        <v>3.8667200000000006E-2</v>
      </c>
      <c r="I132" s="56">
        <f>I124*I$12/$C$3-H132-G132-F132-E132</f>
        <v>5.7122000000000027E-2</v>
      </c>
      <c r="J132" s="56">
        <f>J124*J$12/$C$3-I132-H132-G132-F132-E132</f>
        <v>8.3169632000000021E-2</v>
      </c>
      <c r="K132" s="56">
        <f>K124*K$12/$C$3-J132-I132-H132-G132-F132-E132</f>
        <v>0.11970486320000004</v>
      </c>
      <c r="L132" s="56">
        <f>L124*L$12/$C$3-K132-J132-I132-H132-G132-F132-E132</f>
        <v>0.17067596623999995</v>
      </c>
      <c r="M132" s="56">
        <f>M124*M$12/$C$3-L132-K132-J132-I132-H132-G132-F132-E132</f>
        <v>0.24145629341600008</v>
      </c>
      <c r="N132" s="56">
        <f>N124*N$12/$C$3-M132-L132-K132-J132-I132-H132-G132-F132-E132</f>
        <v>0.33934397993599996</v>
      </c>
    </row>
    <row r="133" spans="2:14" ht="15" customHeight="1" x14ac:dyDescent="0.45">
      <c r="B133" s="59"/>
      <c r="C133" s="67"/>
      <c r="D133" s="55" t="s">
        <v>46</v>
      </c>
      <c r="E133" s="57"/>
      <c r="F133" s="57"/>
      <c r="G133" s="57"/>
      <c r="H133" s="57"/>
      <c r="I133" s="57">
        <f>SUM(E132:I132)/5</f>
        <v>2.9703440000000008E-2</v>
      </c>
      <c r="J133" s="57"/>
      <c r="K133" s="57"/>
      <c r="L133" s="57"/>
      <c r="M133" s="57"/>
      <c r="N133" s="57">
        <f>SUM(E132:N132)/10</f>
        <v>0.11028679347920001</v>
      </c>
    </row>
    <row r="134" spans="2:14" ht="15" customHeight="1" x14ac:dyDescent="0.45">
      <c r="B134" s="59"/>
      <c r="C134" s="59"/>
      <c r="D134" s="60" t="s">
        <v>49</v>
      </c>
      <c r="E134" s="64">
        <f>E136</f>
        <v>10400</v>
      </c>
      <c r="F134" s="64">
        <f>F136-E136</f>
        <v>16640</v>
      </c>
      <c r="G134" s="64">
        <f>G136-F136</f>
        <v>25688</v>
      </c>
      <c r="H134" s="64">
        <f t="shared" ref="H134:N134" si="56">H136-G136</f>
        <v>38667.199999999997</v>
      </c>
      <c r="I134" s="64">
        <f t="shared" si="56"/>
        <v>57122.000000000044</v>
      </c>
      <c r="J134" s="64">
        <f t="shared" si="56"/>
        <v>83169.632000000012</v>
      </c>
      <c r="K134" s="64">
        <f t="shared" si="56"/>
        <v>119704.86320000002</v>
      </c>
      <c r="L134" s="64">
        <f t="shared" si="56"/>
        <v>170675.96623999992</v>
      </c>
      <c r="M134" s="64">
        <f t="shared" si="56"/>
        <v>241456.29341600003</v>
      </c>
      <c r="N134" s="64">
        <f t="shared" si="56"/>
        <v>339343.97993600008</v>
      </c>
    </row>
    <row r="135" spans="2:14" ht="15" customHeight="1" x14ac:dyDescent="0.45">
      <c r="B135" s="59"/>
      <c r="C135" s="59"/>
      <c r="D135" s="60" t="s">
        <v>51</v>
      </c>
      <c r="E135" s="64"/>
      <c r="F135" s="64"/>
      <c r="G135" s="64"/>
      <c r="H135" s="64"/>
      <c r="I135" s="64">
        <f>SUM(E134:I134)/5</f>
        <v>29703.44000000001</v>
      </c>
      <c r="J135" s="64"/>
      <c r="K135" s="64"/>
      <c r="L135" s="64"/>
      <c r="M135" s="64"/>
      <c r="N135" s="64">
        <f>SUM(E134:N134)/10</f>
        <v>110286.79347920002</v>
      </c>
    </row>
    <row r="136" spans="2:14" ht="15" customHeight="1" x14ac:dyDescent="0.45">
      <c r="B136" s="59"/>
      <c r="C136" s="59"/>
      <c r="D136" s="60" t="s">
        <v>50</v>
      </c>
      <c r="E136" s="65">
        <f>E126*E$12</f>
        <v>10400</v>
      </c>
      <c r="F136" s="65">
        <f>F126*F$12</f>
        <v>27040</v>
      </c>
      <c r="G136" s="65">
        <f>G126*G$12</f>
        <v>52728</v>
      </c>
      <c r="H136" s="65">
        <f>H126*H$12</f>
        <v>91395.199999999997</v>
      </c>
      <c r="I136" s="65">
        <f>I126*I$12</f>
        <v>148517.20000000004</v>
      </c>
      <c r="J136" s="65">
        <f>J126*J$12</f>
        <v>231686.83200000005</v>
      </c>
      <c r="K136" s="65">
        <f>K126*K$12</f>
        <v>351391.69520000007</v>
      </c>
      <c r="L136" s="65">
        <f>L126*L$12</f>
        <v>522067.66144</v>
      </c>
      <c r="M136" s="65">
        <f>M126*M$12</f>
        <v>763523.95485600003</v>
      </c>
      <c r="N136" s="65">
        <f>N126*N$12</f>
        <v>1102867.9347920001</v>
      </c>
    </row>
    <row r="137" spans="2:14" ht="15" customHeight="1" x14ac:dyDescent="0.45">
      <c r="B137" s="66" t="s">
        <v>52</v>
      </c>
      <c r="C137" s="67" t="s">
        <v>37</v>
      </c>
      <c r="D137" s="55" t="s">
        <v>42</v>
      </c>
      <c r="E137" s="56">
        <f>E110+E123</f>
        <v>0.10030769230769232</v>
      </c>
      <c r="F137" s="56">
        <f t="shared" ref="F137:N137" si="57">F110+F123</f>
        <v>7.9005917159763295E-2</v>
      </c>
      <c r="G137" s="56">
        <f t="shared" si="57"/>
        <v>6.2619936276741006E-2</v>
      </c>
      <c r="H137" s="56">
        <f t="shared" si="57"/>
        <v>5.0015335597493091E-2</v>
      </c>
      <c r="I137" s="56">
        <f t="shared" si="57"/>
        <v>4.0319488921148533E-2</v>
      </c>
      <c r="J137" s="56">
        <f t="shared" si="57"/>
        <v>3.2861145323960443E-2</v>
      </c>
      <c r="K137" s="56">
        <f t="shared" si="57"/>
        <v>2.7123957941507987E-2</v>
      </c>
      <c r="L137" s="56">
        <f t="shared" si="57"/>
        <v>2.2710736878083088E-2</v>
      </c>
      <c r="M137" s="56">
        <f t="shared" si="57"/>
        <v>1.9315951444679274E-2</v>
      </c>
      <c r="N137" s="56">
        <f t="shared" si="57"/>
        <v>1.6704578034368683E-2</v>
      </c>
    </row>
    <row r="138" spans="2:14" ht="15" customHeight="1" x14ac:dyDescent="0.45">
      <c r="B138" s="66"/>
      <c r="C138" s="67"/>
      <c r="D138" s="55" t="s">
        <v>43</v>
      </c>
      <c r="E138" s="56"/>
      <c r="F138" s="56"/>
      <c r="G138" s="56"/>
      <c r="H138" s="56"/>
      <c r="I138" s="115">
        <f>SUM(E137:I137)/5</f>
        <v>6.6453674052567663E-2</v>
      </c>
      <c r="J138" s="56"/>
      <c r="K138" s="56"/>
      <c r="L138" s="56"/>
      <c r="M138" s="56"/>
      <c r="N138" s="57">
        <f>SUM(E137:N137)/10</f>
        <v>4.5098473988543789E-2</v>
      </c>
    </row>
    <row r="139" spans="2:14" ht="15" customHeight="1" x14ac:dyDescent="0.45">
      <c r="B139" s="66"/>
      <c r="C139" s="67"/>
      <c r="D139" s="55" t="s">
        <v>44</v>
      </c>
      <c r="E139" s="56">
        <f>E112+E124</f>
        <v>0.10030769230769232</v>
      </c>
      <c r="F139" s="56">
        <f t="shared" ref="F139:N139" si="58">F112+F124</f>
        <v>0.17931360946745561</v>
      </c>
      <c r="G139" s="56">
        <f t="shared" si="58"/>
        <v>0.24193354574419662</v>
      </c>
      <c r="H139" s="56">
        <f t="shared" si="58"/>
        <v>0.29194888134168973</v>
      </c>
      <c r="I139" s="56">
        <f t="shared" si="58"/>
        <v>0.33226837026283829</v>
      </c>
      <c r="J139" s="56">
        <f t="shared" si="58"/>
        <v>0.36512951558679868</v>
      </c>
      <c r="K139" s="56">
        <f t="shared" si="58"/>
        <v>0.3922534735283067</v>
      </c>
      <c r="L139" s="56">
        <f t="shared" si="58"/>
        <v>0.41496421040638976</v>
      </c>
      <c r="M139" s="56">
        <f t="shared" si="58"/>
        <v>0.43428016185106905</v>
      </c>
      <c r="N139" s="56">
        <f t="shared" si="58"/>
        <v>0.45098473988543775</v>
      </c>
    </row>
    <row r="140" spans="2:14" ht="15" customHeight="1" x14ac:dyDescent="0.45">
      <c r="B140" s="66"/>
      <c r="C140" s="59"/>
      <c r="D140" s="60" t="s">
        <v>47</v>
      </c>
      <c r="E140" s="61">
        <f>10*E137</f>
        <v>1.0030769230769232</v>
      </c>
      <c r="F140" s="61">
        <f t="shared" ref="F140:N140" si="59">10*F137</f>
        <v>0.79005917159763295</v>
      </c>
      <c r="G140" s="61">
        <f t="shared" si="59"/>
        <v>0.62619936276741006</v>
      </c>
      <c r="H140" s="61">
        <f t="shared" si="59"/>
        <v>0.50015335597493094</v>
      </c>
      <c r="I140" s="61">
        <f t="shared" si="59"/>
        <v>0.40319488921148533</v>
      </c>
      <c r="J140" s="61">
        <f t="shared" si="59"/>
        <v>0.32861145323960445</v>
      </c>
      <c r="K140" s="61">
        <f t="shared" si="59"/>
        <v>0.27123957941507987</v>
      </c>
      <c r="L140" s="61">
        <f t="shared" si="59"/>
        <v>0.22710736878083088</v>
      </c>
      <c r="M140" s="61">
        <f t="shared" si="59"/>
        <v>0.19315951444679275</v>
      </c>
      <c r="N140" s="61">
        <f t="shared" si="59"/>
        <v>0.16704578034368683</v>
      </c>
    </row>
    <row r="141" spans="2:14" ht="15" customHeight="1" x14ac:dyDescent="0.45">
      <c r="B141" s="66"/>
      <c r="C141" s="59"/>
      <c r="D141" s="60" t="s">
        <v>48</v>
      </c>
      <c r="E141" s="61">
        <f>10*E139</f>
        <v>1.0030769230769232</v>
      </c>
      <c r="F141" s="61">
        <f>10*F139</f>
        <v>1.7931360946745563</v>
      </c>
      <c r="G141" s="61">
        <f>10*G139</f>
        <v>2.4193354574419663</v>
      </c>
      <c r="H141" s="61">
        <f t="shared" ref="H141:N141" si="60">10*H139</f>
        <v>2.9194888134168973</v>
      </c>
      <c r="I141" s="61">
        <f t="shared" si="60"/>
        <v>3.3226837026283826</v>
      </c>
      <c r="J141" s="61">
        <f t="shared" si="60"/>
        <v>3.6512951558679867</v>
      </c>
      <c r="K141" s="61">
        <f t="shared" si="60"/>
        <v>3.9225347352830671</v>
      </c>
      <c r="L141" s="61">
        <f t="shared" si="60"/>
        <v>4.1496421040638971</v>
      </c>
      <c r="M141" s="61">
        <f t="shared" si="60"/>
        <v>4.3428016185106904</v>
      </c>
      <c r="N141" s="61">
        <f t="shared" si="60"/>
        <v>4.5098473988543777</v>
      </c>
    </row>
    <row r="142" spans="2:14" ht="15" customHeight="1" x14ac:dyDescent="0.45">
      <c r="B142" s="66"/>
      <c r="C142" s="67" t="s">
        <v>38</v>
      </c>
      <c r="D142" s="55" t="s">
        <v>45</v>
      </c>
      <c r="E142" s="56">
        <f>E115+E127</f>
        <v>0.13039999999999999</v>
      </c>
      <c r="F142" s="56">
        <f t="shared" ref="F142:N142" si="61">F115+F127</f>
        <v>0.13351999999999997</v>
      </c>
      <c r="G142" s="56">
        <f t="shared" si="61"/>
        <v>0.13757599999999998</v>
      </c>
      <c r="H142" s="56">
        <f t="shared" si="61"/>
        <v>0.14284880000000003</v>
      </c>
      <c r="I142" s="56">
        <f t="shared" si="61"/>
        <v>0.14970344000000002</v>
      </c>
      <c r="J142" s="56">
        <f t="shared" si="61"/>
        <v>0.15861447200000017</v>
      </c>
      <c r="K142" s="56">
        <f t="shared" si="61"/>
        <v>0.17019881359999989</v>
      </c>
      <c r="L142" s="56">
        <f t="shared" si="61"/>
        <v>0.18525845768000004</v>
      </c>
      <c r="M142" s="56">
        <f t="shared" si="61"/>
        <v>0.20483599498399982</v>
      </c>
      <c r="N142" s="56">
        <f t="shared" si="61"/>
        <v>0.23028679347919995</v>
      </c>
    </row>
    <row r="143" spans="2:14" ht="15" customHeight="1" x14ac:dyDescent="0.45">
      <c r="B143" s="66"/>
      <c r="C143" s="67"/>
      <c r="D143" s="55" t="s">
        <v>46</v>
      </c>
      <c r="E143" s="56"/>
      <c r="F143" s="56"/>
      <c r="G143" s="56"/>
      <c r="H143" s="56"/>
      <c r="I143" s="57">
        <f>SUM(E142:I142)/5</f>
        <v>0.13880964800000001</v>
      </c>
      <c r="J143" s="57"/>
      <c r="K143" s="57"/>
      <c r="L143" s="57"/>
      <c r="M143" s="57"/>
      <c r="N143" s="57">
        <f>SUM(E142:N142)/10</f>
        <v>0.16432427717431997</v>
      </c>
    </row>
    <row r="144" spans="2:14" ht="15" customHeight="1" x14ac:dyDescent="0.45">
      <c r="B144" s="66"/>
      <c r="C144" s="59"/>
      <c r="D144" s="60" t="s">
        <v>49</v>
      </c>
      <c r="E144" s="63">
        <f>E140*E$12</f>
        <v>130400.00000000001</v>
      </c>
      <c r="F144" s="63">
        <f>F140*F$12</f>
        <v>133519.99999999997</v>
      </c>
      <c r="G144" s="63">
        <f>G140*G$12</f>
        <v>137576</v>
      </c>
      <c r="H144" s="63">
        <f>H140*H$12</f>
        <v>142848.80000000002</v>
      </c>
      <c r="I144" s="63">
        <f>I140*I$12</f>
        <v>149703.44000000003</v>
      </c>
      <c r="J144" s="63">
        <f>J140*J$12</f>
        <v>158614.47200000018</v>
      </c>
      <c r="K144" s="63">
        <f>K140*K$12</f>
        <v>170198.81359999991</v>
      </c>
      <c r="L144" s="63">
        <f>L140*L$12</f>
        <v>185258.45768000008</v>
      </c>
      <c r="M144" s="63">
        <f>M140*M$12</f>
        <v>204835.99498399984</v>
      </c>
      <c r="N144" s="63">
        <f>N140*N$12</f>
        <v>230286.79347919996</v>
      </c>
    </row>
    <row r="145" spans="1:15" ht="15" customHeight="1" x14ac:dyDescent="0.45">
      <c r="B145" s="66"/>
      <c r="C145" s="59"/>
      <c r="D145" s="60" t="s">
        <v>51</v>
      </c>
      <c r="E145" s="62"/>
      <c r="F145" s="62"/>
      <c r="G145" s="62"/>
      <c r="H145" s="62"/>
      <c r="I145" s="63">
        <f>SUM(E144:I144)/5</f>
        <v>138809.64800000002</v>
      </c>
      <c r="J145" s="63"/>
      <c r="K145" s="63"/>
      <c r="L145" s="63"/>
      <c r="M145" s="63"/>
      <c r="N145" s="63">
        <f>SUM(E144:N144)/10</f>
        <v>164324.27717432001</v>
      </c>
    </row>
    <row r="146" spans="1:15" ht="15" customHeight="1" x14ac:dyDescent="0.45">
      <c r="B146" s="66"/>
      <c r="C146" s="59"/>
      <c r="D146" s="60" t="s">
        <v>50</v>
      </c>
      <c r="E146" s="62">
        <f>E144</f>
        <v>130400.00000000001</v>
      </c>
      <c r="F146" s="62">
        <f t="shared" ref="F146:N146" si="62">E146+F144</f>
        <v>263920</v>
      </c>
      <c r="G146" s="62">
        <f t="shared" si="62"/>
        <v>401496</v>
      </c>
      <c r="H146" s="62">
        <f t="shared" si="62"/>
        <v>544344.80000000005</v>
      </c>
      <c r="I146" s="62">
        <f t="shared" si="62"/>
        <v>694048.24000000011</v>
      </c>
      <c r="J146" s="62">
        <f t="shared" si="62"/>
        <v>852662.71200000029</v>
      </c>
      <c r="K146" s="62">
        <f t="shared" si="62"/>
        <v>1022861.5256000002</v>
      </c>
      <c r="L146" s="62">
        <f t="shared" si="62"/>
        <v>1208119.9832800003</v>
      </c>
      <c r="M146" s="62">
        <f t="shared" si="62"/>
        <v>1412955.978264</v>
      </c>
      <c r="N146" s="62">
        <f t="shared" si="62"/>
        <v>1643242.7717432</v>
      </c>
    </row>
    <row r="147" spans="1:15" ht="15" customHeight="1" x14ac:dyDescent="0.45">
      <c r="B147" s="66"/>
      <c r="C147" s="67" t="s">
        <v>39</v>
      </c>
      <c r="D147" s="55" t="s">
        <v>45</v>
      </c>
      <c r="E147" s="56">
        <f>E118+E132</f>
        <v>0.13039999999999999</v>
      </c>
      <c r="F147" s="56">
        <f t="shared" ref="F147:N147" si="63">F118+F132</f>
        <v>0.17264000000000002</v>
      </c>
      <c r="G147" s="56">
        <f t="shared" si="63"/>
        <v>0.22848799999999997</v>
      </c>
      <c r="H147" s="56">
        <f t="shared" si="63"/>
        <v>0.3023072</v>
      </c>
      <c r="I147" s="56">
        <f t="shared" si="63"/>
        <v>0.39985400000000004</v>
      </c>
      <c r="J147" s="56">
        <f t="shared" si="63"/>
        <v>0.52872123200000021</v>
      </c>
      <c r="K147" s="56">
        <f t="shared" si="63"/>
        <v>0.69892194320000045</v>
      </c>
      <c r="L147" s="56">
        <f t="shared" si="63"/>
        <v>0.92365817023999952</v>
      </c>
      <c r="M147" s="56">
        <f t="shared" si="63"/>
        <v>1.2203331586160013</v>
      </c>
      <c r="N147" s="56">
        <f t="shared" si="63"/>
        <v>1.6118839046960001</v>
      </c>
    </row>
    <row r="148" spans="1:15" ht="15" customHeight="1" x14ac:dyDescent="0.45">
      <c r="B148" s="66"/>
      <c r="C148" s="67"/>
      <c r="D148" s="55" t="s">
        <v>46</v>
      </c>
      <c r="E148" s="57"/>
      <c r="F148" s="57"/>
      <c r="G148" s="57"/>
      <c r="H148" s="57"/>
      <c r="I148" s="57">
        <f>SUM(E147:I147)/5</f>
        <v>0.24673784000000004</v>
      </c>
      <c r="J148" s="57"/>
      <c r="K148" s="57"/>
      <c r="L148" s="57"/>
      <c r="M148" s="57"/>
      <c r="N148" s="57">
        <f>SUM(E147:N147)/10</f>
        <v>0.62172076087520023</v>
      </c>
    </row>
    <row r="149" spans="1:15" ht="15" customHeight="1" x14ac:dyDescent="0.45">
      <c r="B149" s="66"/>
      <c r="C149" s="59"/>
      <c r="D149" s="60" t="s">
        <v>49</v>
      </c>
      <c r="E149" s="63">
        <f>E151</f>
        <v>130400.00000000001</v>
      </c>
      <c r="F149" s="63">
        <f>F151-E151</f>
        <v>172640</v>
      </c>
      <c r="G149" s="63">
        <f>G151-F151</f>
        <v>228488</v>
      </c>
      <c r="H149" s="63">
        <f t="shared" ref="H149:N149" si="64">H151-G151</f>
        <v>302307.20000000007</v>
      </c>
      <c r="I149" s="63">
        <f t="shared" si="64"/>
        <v>399854.00000000012</v>
      </c>
      <c r="J149" s="63">
        <f t="shared" si="64"/>
        <v>528721.23200000008</v>
      </c>
      <c r="K149" s="63">
        <f t="shared" si="64"/>
        <v>698921.94320000033</v>
      </c>
      <c r="L149" s="63">
        <f t="shared" si="64"/>
        <v>923658.17023999942</v>
      </c>
      <c r="M149" s="63">
        <f t="shared" si="64"/>
        <v>1220333.1586160003</v>
      </c>
      <c r="N149" s="63">
        <f t="shared" si="64"/>
        <v>1611883.9046960007</v>
      </c>
    </row>
    <row r="150" spans="1:15" ht="15" customHeight="1" x14ac:dyDescent="0.45">
      <c r="B150" s="66"/>
      <c r="C150" s="59"/>
      <c r="D150" s="60" t="s">
        <v>51</v>
      </c>
      <c r="E150" s="63"/>
      <c r="F150" s="63"/>
      <c r="G150" s="63"/>
      <c r="H150" s="63"/>
      <c r="I150" s="63">
        <f>SUM(E149:I149)/5</f>
        <v>246737.84000000003</v>
      </c>
      <c r="J150" s="63"/>
      <c r="K150" s="63"/>
      <c r="L150" s="63"/>
      <c r="M150" s="63"/>
      <c r="N150" s="63">
        <f>SUM(E149:N149)/10</f>
        <v>621720.76087520015</v>
      </c>
    </row>
    <row r="151" spans="1:15" ht="15" customHeight="1" x14ac:dyDescent="0.45">
      <c r="B151" s="66"/>
      <c r="C151" s="59"/>
      <c r="D151" s="60" t="s">
        <v>50</v>
      </c>
      <c r="E151" s="62">
        <f>E141*E$12</f>
        <v>130400.00000000001</v>
      </c>
      <c r="F151" s="62">
        <f>F141*F$12</f>
        <v>303040</v>
      </c>
      <c r="G151" s="62">
        <f>G141*G$12</f>
        <v>531528</v>
      </c>
      <c r="H151" s="62">
        <f>H141*H$12</f>
        <v>833835.20000000007</v>
      </c>
      <c r="I151" s="62">
        <f>I141*I$12</f>
        <v>1233689.2000000002</v>
      </c>
      <c r="J151" s="62">
        <f>J141*J$12</f>
        <v>1762410.4320000003</v>
      </c>
      <c r="K151" s="62">
        <f>K141*K$12</f>
        <v>2461332.3752000006</v>
      </c>
      <c r="L151" s="62">
        <f>L141*L$12</f>
        <v>3384990.54544</v>
      </c>
      <c r="M151" s="62">
        <f>M141*M$12</f>
        <v>4605323.7040560003</v>
      </c>
      <c r="N151" s="62">
        <f>N141*N$12</f>
        <v>6217207.6087520011</v>
      </c>
    </row>
    <row r="152" spans="1:15" ht="15" customHeight="1" x14ac:dyDescent="0.45">
      <c r="A152" s="23"/>
      <c r="B152" s="103"/>
      <c r="C152" s="7"/>
      <c r="D152" s="104"/>
      <c r="E152" s="29"/>
      <c r="F152" s="29"/>
      <c r="G152" s="29"/>
      <c r="H152" s="29"/>
      <c r="I152" s="29"/>
      <c r="J152" s="29"/>
      <c r="K152" s="29"/>
      <c r="L152" s="29"/>
      <c r="M152" s="29"/>
      <c r="N152" s="29"/>
      <c r="O152" s="23"/>
    </row>
    <row r="153" spans="1:15" ht="45" customHeight="1" x14ac:dyDescent="0.45">
      <c r="B153" s="99" t="s">
        <v>56</v>
      </c>
      <c r="C153" s="100"/>
      <c r="D153" s="101"/>
      <c r="E153" s="102" t="s">
        <v>7</v>
      </c>
      <c r="F153" s="102" t="s">
        <v>8</v>
      </c>
      <c r="G153" s="102" t="s">
        <v>9</v>
      </c>
      <c r="H153" s="102" t="s">
        <v>10</v>
      </c>
      <c r="I153" s="102" t="s">
        <v>11</v>
      </c>
      <c r="J153" s="102" t="s">
        <v>12</v>
      </c>
      <c r="K153" s="102" t="s">
        <v>13</v>
      </c>
      <c r="L153" s="102" t="s">
        <v>14</v>
      </c>
      <c r="M153" s="102" t="s">
        <v>15</v>
      </c>
      <c r="N153" s="102" t="s">
        <v>16</v>
      </c>
    </row>
    <row r="154" spans="1:15" ht="15" customHeight="1" x14ac:dyDescent="0.45">
      <c r="B154" s="66" t="s">
        <v>40</v>
      </c>
      <c r="C154" s="68">
        <v>20000</v>
      </c>
      <c r="D154" s="60" t="s">
        <v>53</v>
      </c>
      <c r="E154" s="82">
        <f>E$113*$C154/20</f>
        <v>923.07692307692309</v>
      </c>
      <c r="F154" s="82">
        <f t="shared" ref="F154:N154" si="65">F$113*$C154/20</f>
        <v>710.05917159763305</v>
      </c>
      <c r="G154" s="82">
        <f t="shared" si="65"/>
        <v>546.19936276740998</v>
      </c>
      <c r="H154" s="82">
        <f t="shared" si="65"/>
        <v>420.15335597493095</v>
      </c>
      <c r="I154" s="82">
        <f t="shared" si="65"/>
        <v>323.1948892114853</v>
      </c>
      <c r="J154" s="82">
        <f t="shared" si="65"/>
        <v>248.61145323960446</v>
      </c>
      <c r="K154" s="82">
        <f t="shared" si="65"/>
        <v>191.23957941507985</v>
      </c>
      <c r="L154" s="82">
        <f t="shared" si="65"/>
        <v>147.10736878083088</v>
      </c>
      <c r="M154" s="82">
        <f t="shared" si="65"/>
        <v>113.15951444679274</v>
      </c>
      <c r="N154" s="82">
        <f t="shared" si="65"/>
        <v>87.045780343686815</v>
      </c>
    </row>
    <row r="155" spans="1:15" ht="15" customHeight="1" x14ac:dyDescent="0.45">
      <c r="B155" s="66"/>
      <c r="C155" s="68"/>
      <c r="D155" s="60" t="s">
        <v>54</v>
      </c>
      <c r="E155" s="82"/>
      <c r="F155" s="82"/>
      <c r="G155" s="82"/>
      <c r="H155" s="82"/>
      <c r="I155" s="83">
        <f>SUM(E154:I154)/5</f>
        <v>584.53674052567646</v>
      </c>
      <c r="J155" s="82"/>
      <c r="K155" s="82"/>
      <c r="L155" s="82"/>
      <c r="M155" s="82"/>
      <c r="N155" s="82">
        <f>SUM(E154:N154)/10</f>
        <v>370.9847398854377</v>
      </c>
    </row>
    <row r="156" spans="1:15" ht="15" customHeight="1" x14ac:dyDescent="0.45">
      <c r="B156" s="66"/>
      <c r="C156" s="68"/>
      <c r="D156" s="60" t="s">
        <v>55</v>
      </c>
      <c r="E156" s="82">
        <f>E$114*$C154/20</f>
        <v>923.07692307692309</v>
      </c>
      <c r="F156" s="82">
        <f t="shared" ref="F156:N156" si="66">F$114*$C154/20</f>
        <v>1633.1360946745563</v>
      </c>
      <c r="G156" s="82">
        <f t="shared" si="66"/>
        <v>2179.3354574419659</v>
      </c>
      <c r="H156" s="82">
        <f t="shared" si="66"/>
        <v>2599.4888134168968</v>
      </c>
      <c r="I156" s="83">
        <f t="shared" si="66"/>
        <v>2922.683702628382</v>
      </c>
      <c r="J156" s="82">
        <f t="shared" si="66"/>
        <v>3171.2951558679865</v>
      </c>
      <c r="K156" s="82">
        <f t="shared" si="66"/>
        <v>3362.5347352830672</v>
      </c>
      <c r="L156" s="82">
        <f t="shared" si="66"/>
        <v>3509.6421040638975</v>
      </c>
      <c r="M156" s="82">
        <f t="shared" si="66"/>
        <v>3622.8016185106908</v>
      </c>
      <c r="N156" s="82">
        <f t="shared" si="66"/>
        <v>3709.8473988543774</v>
      </c>
    </row>
    <row r="157" spans="1:15" ht="15" customHeight="1" x14ac:dyDescent="0.45">
      <c r="B157" s="66"/>
      <c r="C157" s="68">
        <v>400000</v>
      </c>
      <c r="D157" s="60" t="s">
        <v>53</v>
      </c>
      <c r="E157" s="82">
        <f>E$113*$C157/20</f>
        <v>18461.538461538461</v>
      </c>
      <c r="F157" s="82">
        <f t="shared" ref="F157:N157" si="67">F$113*$C157/20</f>
        <v>14201.183431952659</v>
      </c>
      <c r="G157" s="82">
        <f t="shared" si="67"/>
        <v>10923.9872553482</v>
      </c>
      <c r="H157" s="82">
        <f t="shared" si="67"/>
        <v>8403.0671194986171</v>
      </c>
      <c r="I157" s="82">
        <f t="shared" si="67"/>
        <v>6463.8977842297063</v>
      </c>
      <c r="J157" s="82">
        <f t="shared" si="67"/>
        <v>4972.2290647920881</v>
      </c>
      <c r="K157" s="82">
        <f t="shared" si="67"/>
        <v>3824.7915883015971</v>
      </c>
      <c r="L157" s="82">
        <f t="shared" si="67"/>
        <v>2942.147375616617</v>
      </c>
      <c r="M157" s="82">
        <f t="shared" si="67"/>
        <v>2263.1902889358544</v>
      </c>
      <c r="N157" s="82">
        <f t="shared" si="67"/>
        <v>1740.9156068737364</v>
      </c>
    </row>
    <row r="158" spans="1:15" ht="15" customHeight="1" x14ac:dyDescent="0.45">
      <c r="B158" s="66"/>
      <c r="C158" s="68"/>
      <c r="D158" s="60" t="s">
        <v>54</v>
      </c>
      <c r="E158" s="82"/>
      <c r="F158" s="82"/>
      <c r="G158" s="82"/>
      <c r="H158" s="82"/>
      <c r="I158" s="83">
        <f>SUM(E157:I157)/5</f>
        <v>11690.734810513528</v>
      </c>
      <c r="J158" s="82"/>
      <c r="K158" s="82"/>
      <c r="L158" s="82"/>
      <c r="M158" s="82"/>
      <c r="N158" s="82">
        <f>SUM(E157:N157)/10</f>
        <v>7419.6947977087548</v>
      </c>
    </row>
    <row r="159" spans="1:15" ht="15" customHeight="1" x14ac:dyDescent="0.45">
      <c r="B159" s="66"/>
      <c r="C159" s="68"/>
      <c r="D159" s="60" t="s">
        <v>55</v>
      </c>
      <c r="E159" s="82">
        <f>E$114*$C157/20</f>
        <v>18461.538461538461</v>
      </c>
      <c r="F159" s="82">
        <f t="shared" ref="F159:N159" si="68">F$114*$C157/20</f>
        <v>32662.721893491125</v>
      </c>
      <c r="G159" s="82">
        <f t="shared" si="68"/>
        <v>43586.70914883932</v>
      </c>
      <c r="H159" s="82">
        <f t="shared" si="68"/>
        <v>51989.776268337941</v>
      </c>
      <c r="I159" s="83">
        <f t="shared" si="68"/>
        <v>58453.674052567643</v>
      </c>
      <c r="J159" s="82">
        <f t="shared" si="68"/>
        <v>63425.903117359732</v>
      </c>
      <c r="K159" s="82">
        <f t="shared" si="68"/>
        <v>67250.694705661343</v>
      </c>
      <c r="L159" s="82">
        <f t="shared" si="68"/>
        <v>70192.842081277951</v>
      </c>
      <c r="M159" s="82">
        <f t="shared" si="68"/>
        <v>72456.032370213812</v>
      </c>
      <c r="N159" s="82">
        <f t="shared" si="68"/>
        <v>74196.947977087548</v>
      </c>
    </row>
    <row r="160" spans="1:15" ht="15" customHeight="1" x14ac:dyDescent="0.45">
      <c r="B160" s="84"/>
      <c r="C160" s="85">
        <v>1000000</v>
      </c>
      <c r="D160" s="55" t="s">
        <v>53</v>
      </c>
      <c r="E160" s="86">
        <f>E$113*$C$160/20</f>
        <v>46153.846153846156</v>
      </c>
      <c r="F160" s="86">
        <f t="shared" ref="F160:N160" si="69">F$113*$C$160/20</f>
        <v>35502.958579881655</v>
      </c>
      <c r="G160" s="86">
        <f t="shared" si="69"/>
        <v>27309.968138370499</v>
      </c>
      <c r="H160" s="86">
        <f t="shared" si="69"/>
        <v>21007.667798746545</v>
      </c>
      <c r="I160" s="86">
        <f t="shared" si="69"/>
        <v>16159.744460574268</v>
      </c>
      <c r="J160" s="86">
        <f t="shared" si="69"/>
        <v>12430.572661980221</v>
      </c>
      <c r="K160" s="86">
        <f t="shared" si="69"/>
        <v>9561.9789707539931</v>
      </c>
      <c r="L160" s="86">
        <f t="shared" si="69"/>
        <v>7355.3684390415438</v>
      </c>
      <c r="M160" s="86">
        <f t="shared" si="69"/>
        <v>5657.9757223396364</v>
      </c>
      <c r="N160" s="86">
        <f t="shared" si="69"/>
        <v>4352.289017184341</v>
      </c>
    </row>
    <row r="161" spans="2:14" ht="15" customHeight="1" x14ac:dyDescent="0.45">
      <c r="B161" s="84"/>
      <c r="C161" s="85"/>
      <c r="D161" s="55" t="s">
        <v>54</v>
      </c>
      <c r="E161" s="86"/>
      <c r="F161" s="86"/>
      <c r="G161" s="86"/>
      <c r="H161" s="86"/>
      <c r="I161" s="87">
        <f>SUM(E160:I160)/5</f>
        <v>29226.837026283825</v>
      </c>
      <c r="J161" s="86"/>
      <c r="K161" s="86"/>
      <c r="L161" s="86"/>
      <c r="M161" s="86"/>
      <c r="N161" s="86">
        <f>SUM(E160:N160)/10</f>
        <v>18549.236994271887</v>
      </c>
    </row>
    <row r="162" spans="2:14" ht="15" customHeight="1" x14ac:dyDescent="0.45">
      <c r="B162" s="84"/>
      <c r="C162" s="85"/>
      <c r="D162" s="55" t="s">
        <v>55</v>
      </c>
      <c r="E162" s="86">
        <f>E$114*$C160/20</f>
        <v>46153.846153846156</v>
      </c>
      <c r="F162" s="86">
        <f t="shared" ref="F162:N162" si="70">F$114*$C160/20</f>
        <v>81656.804733727811</v>
      </c>
      <c r="G162" s="86">
        <f t="shared" si="70"/>
        <v>108966.7728720983</v>
      </c>
      <c r="H162" s="86">
        <f t="shared" si="70"/>
        <v>129974.44067084484</v>
      </c>
      <c r="I162" s="87">
        <f t="shared" si="70"/>
        <v>146134.18513141913</v>
      </c>
      <c r="J162" s="86">
        <f t="shared" si="70"/>
        <v>158564.75779339933</v>
      </c>
      <c r="K162" s="86">
        <f t="shared" si="70"/>
        <v>168126.73676415335</v>
      </c>
      <c r="L162" s="86">
        <f t="shared" si="70"/>
        <v>175482.10520319486</v>
      </c>
      <c r="M162" s="86">
        <f t="shared" si="70"/>
        <v>181140.08092553454</v>
      </c>
      <c r="N162" s="86">
        <f t="shared" si="70"/>
        <v>185492.36994271885</v>
      </c>
    </row>
    <row r="163" spans="2:14" ht="15" customHeight="1" x14ac:dyDescent="0.45">
      <c r="B163" s="84"/>
      <c r="C163" s="85">
        <v>2100000</v>
      </c>
      <c r="D163" s="55" t="s">
        <v>53</v>
      </c>
      <c r="E163" s="86">
        <f>E$113*$C163/20</f>
        <v>96923.076923076922</v>
      </c>
      <c r="F163" s="86">
        <f t="shared" ref="F163:N163" si="71">F$113*$C163/20</f>
        <v>74556.213017751463</v>
      </c>
      <c r="G163" s="86">
        <f t="shared" si="71"/>
        <v>57350.933090578052</v>
      </c>
      <c r="H163" s="86">
        <f t="shared" si="71"/>
        <v>44116.102377367744</v>
      </c>
      <c r="I163" s="86">
        <f t="shared" si="71"/>
        <v>33935.463367205957</v>
      </c>
      <c r="J163" s="86">
        <f t="shared" si="71"/>
        <v>26104.202590158464</v>
      </c>
      <c r="K163" s="86">
        <f t="shared" si="71"/>
        <v>20080.155838583385</v>
      </c>
      <c r="L163" s="86">
        <f t="shared" si="71"/>
        <v>15446.27372198724</v>
      </c>
      <c r="M163" s="86">
        <f t="shared" si="71"/>
        <v>11881.749016913236</v>
      </c>
      <c r="N163" s="86">
        <f t="shared" si="71"/>
        <v>9139.8069360871159</v>
      </c>
    </row>
    <row r="164" spans="2:14" ht="15" customHeight="1" x14ac:dyDescent="0.45">
      <c r="B164" s="84"/>
      <c r="C164" s="85"/>
      <c r="D164" s="55" t="s">
        <v>54</v>
      </c>
      <c r="E164" s="86"/>
      <c r="F164" s="86"/>
      <c r="G164" s="86"/>
      <c r="H164" s="86"/>
      <c r="I164" s="87">
        <f>SUM(E163:I163)/5</f>
        <v>61376.357755196026</v>
      </c>
      <c r="J164" s="86"/>
      <c r="K164" s="86"/>
      <c r="L164" s="86"/>
      <c r="M164" s="86"/>
      <c r="N164" s="86">
        <f>SUM(E163:N163)/10</f>
        <v>38953.397687970952</v>
      </c>
    </row>
    <row r="165" spans="2:14" ht="15" customHeight="1" x14ac:dyDescent="0.45">
      <c r="B165" s="84"/>
      <c r="C165" s="85"/>
      <c r="D165" s="55" t="s">
        <v>55</v>
      </c>
      <c r="E165" s="86">
        <f>E$114*$C163/20</f>
        <v>96923.076923076922</v>
      </c>
      <c r="F165" s="86">
        <f t="shared" ref="F165:N165" si="72">F$114*$C163/20</f>
        <v>171479.2899408284</v>
      </c>
      <c r="G165" s="86">
        <f t="shared" si="72"/>
        <v>228830.22303140644</v>
      </c>
      <c r="H165" s="86">
        <f t="shared" si="72"/>
        <v>272946.3254087742</v>
      </c>
      <c r="I165" s="87">
        <f t="shared" si="72"/>
        <v>306881.78877598012</v>
      </c>
      <c r="J165" s="86">
        <f t="shared" si="72"/>
        <v>332985.99136613857</v>
      </c>
      <c r="K165" s="86">
        <f t="shared" si="72"/>
        <v>353066.14720472204</v>
      </c>
      <c r="L165" s="86">
        <f t="shared" si="72"/>
        <v>368512.42092670925</v>
      </c>
      <c r="M165" s="86">
        <f t="shared" si="72"/>
        <v>380394.16994362249</v>
      </c>
      <c r="N165" s="86">
        <f t="shared" si="72"/>
        <v>389533.97687970963</v>
      </c>
    </row>
    <row r="166" spans="2:14" ht="15" customHeight="1" x14ac:dyDescent="0.45">
      <c r="B166" s="66" t="s">
        <v>41</v>
      </c>
      <c r="C166" s="68">
        <v>20000</v>
      </c>
      <c r="D166" s="60" t="s">
        <v>53</v>
      </c>
      <c r="E166" s="82">
        <f>E$123*$C166/20</f>
        <v>8</v>
      </c>
      <c r="F166" s="82">
        <f t="shared" ref="F166:N166" si="73">F$123*$C166/20</f>
        <v>8</v>
      </c>
      <c r="G166" s="82">
        <f t="shared" si="73"/>
        <v>8</v>
      </c>
      <c r="H166" s="82">
        <f t="shared" si="73"/>
        <v>8</v>
      </c>
      <c r="I166" s="82">
        <f t="shared" si="73"/>
        <v>8</v>
      </c>
      <c r="J166" s="82">
        <f t="shared" si="73"/>
        <v>8</v>
      </c>
      <c r="K166" s="82">
        <f t="shared" si="73"/>
        <v>8</v>
      </c>
      <c r="L166" s="82">
        <f t="shared" si="73"/>
        <v>8</v>
      </c>
      <c r="M166" s="82">
        <f t="shared" si="73"/>
        <v>8</v>
      </c>
      <c r="N166" s="82">
        <f t="shared" si="73"/>
        <v>8</v>
      </c>
    </row>
    <row r="167" spans="2:14" ht="15" customHeight="1" x14ac:dyDescent="0.45">
      <c r="B167" s="66"/>
      <c r="C167" s="68"/>
      <c r="D167" s="60" t="s">
        <v>54</v>
      </c>
      <c r="E167" s="82"/>
      <c r="F167" s="82"/>
      <c r="G167" s="82"/>
      <c r="H167" s="82"/>
      <c r="I167" s="83">
        <f>SUM(E166:I166)/5</f>
        <v>8</v>
      </c>
      <c r="J167" s="82"/>
      <c r="K167" s="82"/>
      <c r="L167" s="82"/>
      <c r="M167" s="82"/>
      <c r="N167" s="82">
        <f>SUM(E166:N166)/10</f>
        <v>8</v>
      </c>
    </row>
    <row r="168" spans="2:14" ht="15" customHeight="1" x14ac:dyDescent="0.45">
      <c r="B168" s="66"/>
      <c r="C168" s="68"/>
      <c r="D168" s="60" t="s">
        <v>55</v>
      </c>
      <c r="E168" s="82">
        <f>E$124*$C166/20</f>
        <v>8</v>
      </c>
      <c r="F168" s="82">
        <f t="shared" ref="F168:N168" si="74">F$124*$C166/20</f>
        <v>16</v>
      </c>
      <c r="G168" s="82">
        <f t="shared" si="74"/>
        <v>24</v>
      </c>
      <c r="H168" s="82">
        <f t="shared" si="74"/>
        <v>32</v>
      </c>
      <c r="I168" s="83">
        <f t="shared" si="74"/>
        <v>40.000000000000007</v>
      </c>
      <c r="J168" s="82">
        <f t="shared" si="74"/>
        <v>48.000000000000007</v>
      </c>
      <c r="K168" s="82">
        <f t="shared" si="74"/>
        <v>56.000000000000014</v>
      </c>
      <c r="L168" s="82">
        <f t="shared" si="74"/>
        <v>64</v>
      </c>
      <c r="M168" s="82">
        <f t="shared" si="74"/>
        <v>72</v>
      </c>
      <c r="N168" s="82">
        <f t="shared" si="74"/>
        <v>80</v>
      </c>
    </row>
    <row r="169" spans="2:14" ht="15" customHeight="1" x14ac:dyDescent="0.45">
      <c r="B169" s="66"/>
      <c r="C169" s="68">
        <v>400000</v>
      </c>
      <c r="D169" s="60" t="s">
        <v>53</v>
      </c>
      <c r="E169" s="82">
        <f>E$123*$C169/20</f>
        <v>160</v>
      </c>
      <c r="F169" s="82">
        <f t="shared" ref="F169:N169" si="75">F$123*$C169/20</f>
        <v>160</v>
      </c>
      <c r="G169" s="82">
        <f t="shared" si="75"/>
        <v>160</v>
      </c>
      <c r="H169" s="82">
        <f t="shared" si="75"/>
        <v>160</v>
      </c>
      <c r="I169" s="82">
        <f t="shared" si="75"/>
        <v>160</v>
      </c>
      <c r="J169" s="82">
        <f t="shared" si="75"/>
        <v>160</v>
      </c>
      <c r="K169" s="82">
        <f t="shared" si="75"/>
        <v>160</v>
      </c>
      <c r="L169" s="82">
        <f t="shared" si="75"/>
        <v>160</v>
      </c>
      <c r="M169" s="82">
        <f t="shared" si="75"/>
        <v>160</v>
      </c>
      <c r="N169" s="82">
        <f t="shared" si="75"/>
        <v>160</v>
      </c>
    </row>
    <row r="170" spans="2:14" ht="15" customHeight="1" x14ac:dyDescent="0.45">
      <c r="B170" s="66"/>
      <c r="C170" s="68"/>
      <c r="D170" s="60" t="s">
        <v>54</v>
      </c>
      <c r="E170" s="82"/>
      <c r="F170" s="82"/>
      <c r="G170" s="82"/>
      <c r="H170" s="82"/>
      <c r="I170" s="83">
        <f>SUM(E169:I169)/5</f>
        <v>160</v>
      </c>
      <c r="J170" s="82"/>
      <c r="K170" s="82"/>
      <c r="L170" s="82"/>
      <c r="M170" s="82"/>
      <c r="N170" s="82">
        <f>SUM(E169:N169)/10</f>
        <v>160</v>
      </c>
    </row>
    <row r="171" spans="2:14" ht="15" customHeight="1" x14ac:dyDescent="0.45">
      <c r="B171" s="66"/>
      <c r="C171" s="68"/>
      <c r="D171" s="60" t="s">
        <v>55</v>
      </c>
      <c r="E171" s="82">
        <f>E$124*$C169/20</f>
        <v>160</v>
      </c>
      <c r="F171" s="82">
        <f t="shared" ref="F171:N171" si="76">F$124*$C169/20</f>
        <v>320</v>
      </c>
      <c r="G171" s="82">
        <f t="shared" si="76"/>
        <v>480</v>
      </c>
      <c r="H171" s="82">
        <f t="shared" si="76"/>
        <v>640</v>
      </c>
      <c r="I171" s="83">
        <f t="shared" si="76"/>
        <v>800.00000000000023</v>
      </c>
      <c r="J171" s="82">
        <f t="shared" si="76"/>
        <v>960.00000000000023</v>
      </c>
      <c r="K171" s="82">
        <f t="shared" si="76"/>
        <v>1120.0000000000002</v>
      </c>
      <c r="L171" s="82">
        <f t="shared" si="76"/>
        <v>1280</v>
      </c>
      <c r="M171" s="82">
        <f t="shared" si="76"/>
        <v>1439.9999999999998</v>
      </c>
      <c r="N171" s="82">
        <f t="shared" si="76"/>
        <v>1600</v>
      </c>
    </row>
    <row r="172" spans="2:14" ht="15" customHeight="1" x14ac:dyDescent="0.45">
      <c r="B172" s="66"/>
      <c r="C172" s="85">
        <v>1000000</v>
      </c>
      <c r="D172" s="55" t="s">
        <v>53</v>
      </c>
      <c r="E172" s="86">
        <f>E$123*$C$160/20</f>
        <v>400</v>
      </c>
      <c r="F172" s="86">
        <f t="shared" ref="F172:N172" si="77">F$123*$C$160/20</f>
        <v>400</v>
      </c>
      <c r="G172" s="86">
        <f t="shared" si="77"/>
        <v>400</v>
      </c>
      <c r="H172" s="86">
        <f t="shared" si="77"/>
        <v>400</v>
      </c>
      <c r="I172" s="86">
        <f t="shared" si="77"/>
        <v>400</v>
      </c>
      <c r="J172" s="86">
        <f t="shared" si="77"/>
        <v>400</v>
      </c>
      <c r="K172" s="86">
        <f t="shared" si="77"/>
        <v>400</v>
      </c>
      <c r="L172" s="86">
        <f t="shared" si="77"/>
        <v>400</v>
      </c>
      <c r="M172" s="86">
        <f t="shared" si="77"/>
        <v>400</v>
      </c>
      <c r="N172" s="86">
        <f t="shared" si="77"/>
        <v>400</v>
      </c>
    </row>
    <row r="173" spans="2:14" ht="15" customHeight="1" x14ac:dyDescent="0.45">
      <c r="B173" s="66"/>
      <c r="C173" s="85"/>
      <c r="D173" s="55" t="s">
        <v>54</v>
      </c>
      <c r="E173" s="86"/>
      <c r="F173" s="86"/>
      <c r="G173" s="86"/>
      <c r="H173" s="86"/>
      <c r="I173" s="87">
        <f>SUM(E172:I172)/5</f>
        <v>400</v>
      </c>
      <c r="J173" s="86"/>
      <c r="K173" s="86"/>
      <c r="L173" s="86"/>
      <c r="M173" s="86"/>
      <c r="N173" s="86">
        <f>SUM(E172:N172)/10</f>
        <v>400</v>
      </c>
    </row>
    <row r="174" spans="2:14" ht="15" customHeight="1" x14ac:dyDescent="0.45">
      <c r="B174" s="66"/>
      <c r="C174" s="85"/>
      <c r="D174" s="55" t="s">
        <v>55</v>
      </c>
      <c r="E174" s="86">
        <f>E$124*$C172/20</f>
        <v>400</v>
      </c>
      <c r="F174" s="86">
        <f t="shared" ref="F174:N174" si="78">F$124*$C172/20</f>
        <v>800</v>
      </c>
      <c r="G174" s="86">
        <f t="shared" si="78"/>
        <v>1200</v>
      </c>
      <c r="H174" s="86">
        <f t="shared" si="78"/>
        <v>1600</v>
      </c>
      <c r="I174" s="87">
        <f t="shared" si="78"/>
        <v>2000.0000000000005</v>
      </c>
      <c r="J174" s="86">
        <f t="shared" si="78"/>
        <v>2400.0000000000005</v>
      </c>
      <c r="K174" s="86">
        <f t="shared" si="78"/>
        <v>2800.0000000000005</v>
      </c>
      <c r="L174" s="86">
        <f t="shared" si="78"/>
        <v>3200</v>
      </c>
      <c r="M174" s="86">
        <f t="shared" si="78"/>
        <v>3600</v>
      </c>
      <c r="N174" s="86">
        <f t="shared" si="78"/>
        <v>4000</v>
      </c>
    </row>
    <row r="175" spans="2:14" ht="15" customHeight="1" x14ac:dyDescent="0.45">
      <c r="B175" s="66"/>
      <c r="C175" s="85">
        <v>2100000</v>
      </c>
      <c r="D175" s="55" t="s">
        <v>53</v>
      </c>
      <c r="E175" s="86">
        <f>E$123*$C175/20</f>
        <v>840</v>
      </c>
      <c r="F175" s="86">
        <f t="shared" ref="F175:N175" si="79">F$123*$C175/20</f>
        <v>840</v>
      </c>
      <c r="G175" s="86">
        <f t="shared" si="79"/>
        <v>840</v>
      </c>
      <c r="H175" s="86">
        <f t="shared" si="79"/>
        <v>840</v>
      </c>
      <c r="I175" s="86">
        <f t="shared" si="79"/>
        <v>840</v>
      </c>
      <c r="J175" s="86">
        <f t="shared" si="79"/>
        <v>840</v>
      </c>
      <c r="K175" s="86">
        <f t="shared" si="79"/>
        <v>840</v>
      </c>
      <c r="L175" s="86">
        <f t="shared" si="79"/>
        <v>840</v>
      </c>
      <c r="M175" s="86">
        <f t="shared" si="79"/>
        <v>840</v>
      </c>
      <c r="N175" s="86">
        <f t="shared" si="79"/>
        <v>840</v>
      </c>
    </row>
    <row r="176" spans="2:14" ht="15" customHeight="1" x14ac:dyDescent="0.45">
      <c r="B176" s="66"/>
      <c r="C176" s="85"/>
      <c r="D176" s="55" t="s">
        <v>54</v>
      </c>
      <c r="E176" s="86"/>
      <c r="F176" s="86"/>
      <c r="G176" s="86"/>
      <c r="H176" s="86"/>
      <c r="I176" s="87">
        <f>SUM(E175:I175)/5</f>
        <v>840</v>
      </c>
      <c r="J176" s="86"/>
      <c r="K176" s="86"/>
      <c r="L176" s="86"/>
      <c r="M176" s="86"/>
      <c r="N176" s="86">
        <f>SUM(E175:N175)/10</f>
        <v>840</v>
      </c>
    </row>
    <row r="177" spans="2:14" ht="15" customHeight="1" x14ac:dyDescent="0.45">
      <c r="B177" s="66"/>
      <c r="C177" s="85"/>
      <c r="D177" s="55" t="s">
        <v>55</v>
      </c>
      <c r="E177" s="86">
        <f>E$124*$C175/20</f>
        <v>840</v>
      </c>
      <c r="F177" s="86">
        <f t="shared" ref="F177:N177" si="80">F$124*$C175/20</f>
        <v>1680</v>
      </c>
      <c r="G177" s="86">
        <f t="shared" si="80"/>
        <v>2520</v>
      </c>
      <c r="H177" s="86">
        <f t="shared" si="80"/>
        <v>3360</v>
      </c>
      <c r="I177" s="87">
        <f t="shared" si="80"/>
        <v>4200.0000000000009</v>
      </c>
      <c r="J177" s="86">
        <f t="shared" si="80"/>
        <v>5040.0000000000009</v>
      </c>
      <c r="K177" s="86">
        <f t="shared" si="80"/>
        <v>5880.0000000000009</v>
      </c>
      <c r="L177" s="86">
        <f t="shared" si="80"/>
        <v>6720</v>
      </c>
      <c r="M177" s="86">
        <f t="shared" si="80"/>
        <v>7560</v>
      </c>
      <c r="N177" s="86">
        <f t="shared" si="80"/>
        <v>8400</v>
      </c>
    </row>
    <row r="178" spans="2:14" ht="15" customHeight="1" x14ac:dyDescent="0.45">
      <c r="B178" s="66" t="s">
        <v>52</v>
      </c>
      <c r="C178" s="68">
        <v>20000</v>
      </c>
      <c r="D178" s="60" t="s">
        <v>53</v>
      </c>
      <c r="E178" s="82">
        <f>E154+E166</f>
        <v>931.07692307692309</v>
      </c>
      <c r="F178" s="82">
        <f t="shared" ref="F178:N178" si="81">F154+F166</f>
        <v>718.05917159763305</v>
      </c>
      <c r="G178" s="82">
        <f t="shared" si="81"/>
        <v>554.19936276740998</v>
      </c>
      <c r="H178" s="82">
        <f t="shared" si="81"/>
        <v>428.15335597493095</v>
      </c>
      <c r="I178" s="82">
        <f t="shared" si="81"/>
        <v>331.1948892114853</v>
      </c>
      <c r="J178" s="82">
        <f t="shared" si="81"/>
        <v>256.61145323960443</v>
      </c>
      <c r="K178" s="82">
        <f t="shared" si="81"/>
        <v>199.23957941507985</v>
      </c>
      <c r="L178" s="82">
        <f t="shared" si="81"/>
        <v>155.10736878083088</v>
      </c>
      <c r="M178" s="82">
        <f t="shared" si="81"/>
        <v>121.15951444679274</v>
      </c>
      <c r="N178" s="82">
        <f t="shared" si="81"/>
        <v>95.045780343686815</v>
      </c>
    </row>
    <row r="179" spans="2:14" ht="15" customHeight="1" x14ac:dyDescent="0.45">
      <c r="B179" s="66"/>
      <c r="C179" s="68"/>
      <c r="D179" s="60" t="s">
        <v>54</v>
      </c>
      <c r="E179" s="82"/>
      <c r="F179" s="82"/>
      <c r="G179" s="82"/>
      <c r="H179" s="82"/>
      <c r="I179" s="83">
        <f>SUM(E178:I178)/5</f>
        <v>592.53674052567646</v>
      </c>
      <c r="J179" s="82"/>
      <c r="K179" s="82"/>
      <c r="L179" s="82"/>
      <c r="M179" s="82"/>
      <c r="N179" s="82">
        <f>SUM(E178:N178)/10</f>
        <v>378.9847398854377</v>
      </c>
    </row>
    <row r="180" spans="2:14" ht="15" customHeight="1" x14ac:dyDescent="0.45">
      <c r="B180" s="66"/>
      <c r="C180" s="68"/>
      <c r="D180" s="60" t="s">
        <v>55</v>
      </c>
      <c r="E180" s="82">
        <f>E156+E168</f>
        <v>931.07692307692309</v>
      </c>
      <c r="F180" s="82">
        <f t="shared" ref="F180:N180" si="82">F156+F168</f>
        <v>1649.1360946745563</v>
      </c>
      <c r="G180" s="82">
        <f t="shared" si="82"/>
        <v>2203.3354574419659</v>
      </c>
      <c r="H180" s="82">
        <f t="shared" si="82"/>
        <v>2631.4888134168968</v>
      </c>
      <c r="I180" s="83">
        <f t="shared" si="82"/>
        <v>2962.683702628382</v>
      </c>
      <c r="J180" s="82">
        <f t="shared" si="82"/>
        <v>3219.2951558679865</v>
      </c>
      <c r="K180" s="82">
        <f t="shared" si="82"/>
        <v>3418.5347352830672</v>
      </c>
      <c r="L180" s="82">
        <f t="shared" si="82"/>
        <v>3573.6421040638975</v>
      </c>
      <c r="M180" s="82">
        <f t="shared" si="82"/>
        <v>3694.8016185106908</v>
      </c>
      <c r="N180" s="82">
        <f t="shared" si="82"/>
        <v>3789.8473988543774</v>
      </c>
    </row>
    <row r="181" spans="2:14" ht="15" customHeight="1" x14ac:dyDescent="0.45">
      <c r="B181" s="66"/>
      <c r="C181" s="68">
        <v>400000</v>
      </c>
      <c r="D181" s="60" t="s">
        <v>53</v>
      </c>
      <c r="E181" s="82">
        <f>E157+E169</f>
        <v>18621.538461538461</v>
      </c>
      <c r="F181" s="82">
        <f t="shared" ref="F181:N181" si="83">F157+F169</f>
        <v>14361.183431952659</v>
      </c>
      <c r="G181" s="82">
        <f t="shared" si="83"/>
        <v>11083.9872553482</v>
      </c>
      <c r="H181" s="82">
        <f t="shared" si="83"/>
        <v>8563.0671194986171</v>
      </c>
      <c r="I181" s="82">
        <f t="shared" si="83"/>
        <v>6623.8977842297063</v>
      </c>
      <c r="J181" s="82">
        <f t="shared" si="83"/>
        <v>5132.2290647920881</v>
      </c>
      <c r="K181" s="82">
        <f t="shared" si="83"/>
        <v>3984.7915883015971</v>
      </c>
      <c r="L181" s="82">
        <f t="shared" si="83"/>
        <v>3102.147375616617</v>
      </c>
      <c r="M181" s="82">
        <f t="shared" si="83"/>
        <v>2423.1902889358544</v>
      </c>
      <c r="N181" s="82">
        <f t="shared" si="83"/>
        <v>1900.9156068737364</v>
      </c>
    </row>
    <row r="182" spans="2:14" ht="15" customHeight="1" x14ac:dyDescent="0.45">
      <c r="B182" s="66"/>
      <c r="C182" s="68"/>
      <c r="D182" s="60" t="s">
        <v>54</v>
      </c>
      <c r="E182" s="82"/>
      <c r="F182" s="82"/>
      <c r="G182" s="82"/>
      <c r="H182" s="82"/>
      <c r="I182" s="83">
        <f>SUM(E181:I181)/5</f>
        <v>11850.734810513528</v>
      </c>
      <c r="J182" s="82"/>
      <c r="K182" s="82"/>
      <c r="L182" s="82"/>
      <c r="M182" s="82"/>
      <c r="N182" s="82">
        <f>SUM(E181:N181)/10</f>
        <v>7579.6947977087548</v>
      </c>
    </row>
    <row r="183" spans="2:14" ht="15" customHeight="1" x14ac:dyDescent="0.45">
      <c r="B183" s="66"/>
      <c r="C183" s="68"/>
      <c r="D183" s="60" t="s">
        <v>55</v>
      </c>
      <c r="E183" s="82">
        <f>E159+E171</f>
        <v>18621.538461538461</v>
      </c>
      <c r="F183" s="82">
        <f t="shared" ref="F183:N183" si="84">F159+F171</f>
        <v>32982.721893491122</v>
      </c>
      <c r="G183" s="82">
        <f t="shared" si="84"/>
        <v>44066.70914883932</v>
      </c>
      <c r="H183" s="82">
        <f t="shared" si="84"/>
        <v>52629.776268337941</v>
      </c>
      <c r="I183" s="83">
        <f t="shared" si="84"/>
        <v>59253.674052567643</v>
      </c>
      <c r="J183" s="82">
        <f t="shared" si="84"/>
        <v>64385.903117359732</v>
      </c>
      <c r="K183" s="82">
        <f t="shared" si="84"/>
        <v>68370.694705661343</v>
      </c>
      <c r="L183" s="82">
        <f t="shared" si="84"/>
        <v>71472.842081277951</v>
      </c>
      <c r="M183" s="82">
        <f t="shared" si="84"/>
        <v>73896.032370213812</v>
      </c>
      <c r="N183" s="82">
        <f t="shared" si="84"/>
        <v>75796.947977087548</v>
      </c>
    </row>
    <row r="184" spans="2:14" ht="15" customHeight="1" x14ac:dyDescent="0.45">
      <c r="B184" s="66"/>
      <c r="C184" s="85">
        <v>1000000</v>
      </c>
      <c r="D184" s="55" t="s">
        <v>53</v>
      </c>
      <c r="E184" s="86">
        <f>E160+E172</f>
        <v>46553.846153846156</v>
      </c>
      <c r="F184" s="86">
        <f t="shared" ref="F184:N184" si="85">F160+F172</f>
        <v>35902.958579881655</v>
      </c>
      <c r="G184" s="86">
        <f t="shared" si="85"/>
        <v>27709.968138370499</v>
      </c>
      <c r="H184" s="86">
        <f t="shared" si="85"/>
        <v>21407.667798746545</v>
      </c>
      <c r="I184" s="86">
        <f t="shared" si="85"/>
        <v>16559.744460574268</v>
      </c>
      <c r="J184" s="86">
        <f t="shared" si="85"/>
        <v>12830.572661980221</v>
      </c>
      <c r="K184" s="86">
        <f t="shared" si="85"/>
        <v>9961.9789707539931</v>
      </c>
      <c r="L184" s="86">
        <f t="shared" si="85"/>
        <v>7755.3684390415438</v>
      </c>
      <c r="M184" s="86">
        <f t="shared" si="85"/>
        <v>6057.9757223396364</v>
      </c>
      <c r="N184" s="86">
        <f t="shared" si="85"/>
        <v>4752.289017184341</v>
      </c>
    </row>
    <row r="185" spans="2:14" ht="15" customHeight="1" x14ac:dyDescent="0.45">
      <c r="B185" s="66"/>
      <c r="C185" s="85"/>
      <c r="D185" s="55" t="s">
        <v>54</v>
      </c>
      <c r="E185" s="86"/>
      <c r="F185" s="86"/>
      <c r="G185" s="86"/>
      <c r="H185" s="86"/>
      <c r="I185" s="87">
        <f>SUM(E184:I184)/5</f>
        <v>29626.837026283825</v>
      </c>
      <c r="J185" s="86"/>
      <c r="K185" s="86"/>
      <c r="L185" s="86"/>
      <c r="M185" s="86"/>
      <c r="N185" s="86">
        <f>SUM(E184:N184)/10</f>
        <v>18949.236994271887</v>
      </c>
    </row>
    <row r="186" spans="2:14" ht="15" customHeight="1" x14ac:dyDescent="0.45">
      <c r="B186" s="66"/>
      <c r="C186" s="85"/>
      <c r="D186" s="55" t="s">
        <v>55</v>
      </c>
      <c r="E186" s="86">
        <f>E162+E174</f>
        <v>46553.846153846156</v>
      </c>
      <c r="F186" s="86">
        <f t="shared" ref="F186:N186" si="86">F162+F174</f>
        <v>82456.804733727811</v>
      </c>
      <c r="G186" s="86">
        <f t="shared" si="86"/>
        <v>110166.7728720983</v>
      </c>
      <c r="H186" s="86">
        <f t="shared" si="86"/>
        <v>131574.44067084484</v>
      </c>
      <c r="I186" s="87">
        <f t="shared" si="86"/>
        <v>148134.18513141913</v>
      </c>
      <c r="J186" s="86">
        <f t="shared" si="86"/>
        <v>160964.75779339933</v>
      </c>
      <c r="K186" s="86">
        <f t="shared" si="86"/>
        <v>170926.73676415335</v>
      </c>
      <c r="L186" s="86">
        <f t="shared" si="86"/>
        <v>178682.10520319486</v>
      </c>
      <c r="M186" s="86">
        <f t="shared" si="86"/>
        <v>184740.08092553454</v>
      </c>
      <c r="N186" s="86">
        <f t="shared" si="86"/>
        <v>189492.36994271885</v>
      </c>
    </row>
    <row r="187" spans="2:14" ht="15" customHeight="1" x14ac:dyDescent="0.45">
      <c r="B187" s="66"/>
      <c r="C187" s="85">
        <v>2100000</v>
      </c>
      <c r="D187" s="55" t="s">
        <v>53</v>
      </c>
      <c r="E187" s="86">
        <f>E163+E175</f>
        <v>97763.076923076922</v>
      </c>
      <c r="F187" s="86">
        <f t="shared" ref="F187:N187" si="87">F163+F175</f>
        <v>75396.213017751463</v>
      </c>
      <c r="G187" s="86">
        <f t="shared" si="87"/>
        <v>58190.933090578052</v>
      </c>
      <c r="H187" s="86">
        <f t="shared" si="87"/>
        <v>44956.102377367744</v>
      </c>
      <c r="I187" s="86">
        <f t="shared" si="87"/>
        <v>34775.463367205957</v>
      </c>
      <c r="J187" s="86">
        <f t="shared" si="87"/>
        <v>26944.202590158464</v>
      </c>
      <c r="K187" s="86">
        <f t="shared" si="87"/>
        <v>20920.155838583385</v>
      </c>
      <c r="L187" s="86">
        <f t="shared" si="87"/>
        <v>16286.27372198724</v>
      </c>
      <c r="M187" s="86">
        <f t="shared" si="87"/>
        <v>12721.749016913236</v>
      </c>
      <c r="N187" s="86">
        <f t="shared" si="87"/>
        <v>9979.8069360871159</v>
      </c>
    </row>
    <row r="188" spans="2:14" ht="15" customHeight="1" x14ac:dyDescent="0.45">
      <c r="B188" s="66"/>
      <c r="C188" s="85"/>
      <c r="D188" s="55" t="s">
        <v>54</v>
      </c>
      <c r="E188" s="86"/>
      <c r="F188" s="86"/>
      <c r="G188" s="86"/>
      <c r="H188" s="86"/>
      <c r="I188" s="87">
        <f>SUM(E187:I187)/5</f>
        <v>62216.357755196026</v>
      </c>
      <c r="J188" s="86"/>
      <c r="K188" s="86"/>
      <c r="L188" s="86"/>
      <c r="M188" s="86"/>
      <c r="N188" s="86">
        <f>SUM(E187:N187)/10</f>
        <v>39793.397687970952</v>
      </c>
    </row>
    <row r="189" spans="2:14" ht="15" customHeight="1" x14ac:dyDescent="0.45">
      <c r="B189" s="66"/>
      <c r="C189" s="85"/>
      <c r="D189" s="55" t="s">
        <v>55</v>
      </c>
      <c r="E189" s="86">
        <f>E165+E177</f>
        <v>97763.076923076922</v>
      </c>
      <c r="F189" s="86">
        <f t="shared" ref="F189:N189" si="88">F165+F177</f>
        <v>173159.2899408284</v>
      </c>
      <c r="G189" s="86">
        <f t="shared" si="88"/>
        <v>231350.22303140644</v>
      </c>
      <c r="H189" s="86">
        <f t="shared" si="88"/>
        <v>276306.3254087742</v>
      </c>
      <c r="I189" s="87">
        <f t="shared" si="88"/>
        <v>311081.78877598012</v>
      </c>
      <c r="J189" s="86">
        <f t="shared" si="88"/>
        <v>338025.99136613857</v>
      </c>
      <c r="K189" s="86">
        <f t="shared" si="88"/>
        <v>358946.14720472204</v>
      </c>
      <c r="L189" s="86">
        <f t="shared" si="88"/>
        <v>375232.42092670925</v>
      </c>
      <c r="M189" s="86">
        <f t="shared" si="88"/>
        <v>387954.16994362249</v>
      </c>
      <c r="N189" s="86">
        <f t="shared" si="88"/>
        <v>397933.97687970963</v>
      </c>
    </row>
    <row r="190" spans="2:14" ht="15" customHeight="1" x14ac:dyDescent="0.45">
      <c r="B190" s="44"/>
      <c r="C190" s="69"/>
      <c r="D190" s="47"/>
      <c r="E190" s="43"/>
      <c r="F190" s="43"/>
      <c r="G190" s="43"/>
      <c r="H190" s="43"/>
      <c r="I190" s="43"/>
      <c r="J190" s="43"/>
      <c r="K190" s="43"/>
      <c r="L190" s="43"/>
      <c r="M190" s="43"/>
      <c r="N190" s="43"/>
    </row>
    <row r="191" spans="2:14" ht="15" customHeight="1" x14ac:dyDescent="0.45">
      <c r="B191" s="44"/>
      <c r="D191" s="47"/>
      <c r="E191" s="43"/>
      <c r="F191" s="43"/>
      <c r="G191" s="43"/>
      <c r="H191" s="43"/>
      <c r="I191" s="43"/>
      <c r="J191" s="43"/>
      <c r="K191" s="43"/>
      <c r="L191" s="43"/>
      <c r="M191" s="43"/>
      <c r="N191" s="43"/>
    </row>
  </sheetData>
  <mergeCells count="55">
    <mergeCell ref="B18:C19"/>
    <mergeCell ref="B14:C17"/>
    <mergeCell ref="B12:C13"/>
    <mergeCell ref="B166:B177"/>
    <mergeCell ref="C166:C168"/>
    <mergeCell ref="C169:C171"/>
    <mergeCell ref="C172:C174"/>
    <mergeCell ref="C175:C177"/>
    <mergeCell ref="B178:B189"/>
    <mergeCell ref="C178:C180"/>
    <mergeCell ref="C181:C183"/>
    <mergeCell ref="C184:C186"/>
    <mergeCell ref="C187:C189"/>
    <mergeCell ref="C154:C156"/>
    <mergeCell ref="C157:C159"/>
    <mergeCell ref="C160:C162"/>
    <mergeCell ref="C163:C165"/>
    <mergeCell ref="B154:B165"/>
    <mergeCell ref="B123:B136"/>
    <mergeCell ref="C123:C126"/>
    <mergeCell ref="C127:C131"/>
    <mergeCell ref="C132:C136"/>
    <mergeCell ref="B137:B151"/>
    <mergeCell ref="C137:C141"/>
    <mergeCell ref="C142:C146"/>
    <mergeCell ref="C147:C151"/>
    <mergeCell ref="B79:B92"/>
    <mergeCell ref="B93:B107"/>
    <mergeCell ref="B110:B122"/>
    <mergeCell ref="C110:C114"/>
    <mergeCell ref="C115:C117"/>
    <mergeCell ref="C118:C122"/>
    <mergeCell ref="C79:C82"/>
    <mergeCell ref="C83:C87"/>
    <mergeCell ref="C88:C92"/>
    <mergeCell ref="C93:C97"/>
    <mergeCell ref="C98:C102"/>
    <mergeCell ref="C103:C107"/>
    <mergeCell ref="C54:C58"/>
    <mergeCell ref="C59:C63"/>
    <mergeCell ref="B49:B63"/>
    <mergeCell ref="C66:C70"/>
    <mergeCell ref="C71:C73"/>
    <mergeCell ref="C74:C78"/>
    <mergeCell ref="B66:B78"/>
    <mergeCell ref="C35:C38"/>
    <mergeCell ref="C39:C43"/>
    <mergeCell ref="C44:C48"/>
    <mergeCell ref="B35:B48"/>
    <mergeCell ref="B22:B34"/>
    <mergeCell ref="C49:C53"/>
    <mergeCell ref="C22:C26"/>
    <mergeCell ref="C27:C29"/>
    <mergeCell ref="C30:C34"/>
    <mergeCell ref="E2:N6"/>
  </mergeCells>
  <conditionalFormatting sqref="C9">
    <cfRule type="cellIs" dxfId="2" priority="1" operator="lessThan">
      <formula>1</formula>
    </cfRule>
    <cfRule type="cellIs" dxfId="1" priority="2" operator="greaterThan">
      <formula>1</formula>
    </cfRule>
    <cfRule type="cellIs" dxfId="0" priority="3" operator="equal">
      <formula>1</formula>
    </cfRule>
  </conditionalFormatting>
  <pageMargins left="0.7" right="0.7" top="0.75" bottom="0.75" header="0.3" footer="0.3"/>
  <pageSetup orientation="portrait" r:id="rId1"/>
  <ignoredErrors>
    <ignoredError sqref="C9" formulaRange="1"/>
    <ignoredError sqref="I32 N32 I41 N41 I46 N46 I56 N56 I61 N61 I76 N76 I85 N85 I90 N90 I100 N100 I105 N105 I120 N120 I129 N129 I134 N134 I144 N144 I149 N149 I179 N179 I182 N182 I185 N185 I188 N18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A8B3-4D3D-4488-B4BF-24906CFC65EC}">
  <dimension ref="A1:N44"/>
  <sheetViews>
    <sheetView topLeftCell="A10" zoomScaleNormal="100" workbookViewId="0">
      <selection activeCell="D44" sqref="D44"/>
    </sheetView>
  </sheetViews>
  <sheetFormatPr defaultRowHeight="15" customHeight="1" x14ac:dyDescent="0.45"/>
  <cols>
    <col min="1" max="1" width="1.73046875" style="5" customWidth="1"/>
    <col min="2" max="2" width="36" style="5" customWidth="1"/>
    <col min="3" max="12" width="12" style="5" customWidth="1"/>
    <col min="13" max="13" width="1.6640625" style="5" customWidth="1"/>
    <col min="14" max="14" width="14.46484375" style="5" customWidth="1"/>
    <col min="15" max="15" width="1.53125" style="5" customWidth="1"/>
    <col min="16" max="16384" width="9.06640625" style="5"/>
  </cols>
  <sheetData>
    <row r="1" spans="1:14" ht="15" customHeight="1" x14ac:dyDescent="0.45">
      <c r="A1" s="28"/>
      <c r="B1" s="1"/>
      <c r="C1" s="1"/>
      <c r="D1" s="1"/>
      <c r="E1" s="1"/>
      <c r="F1" s="1"/>
      <c r="G1" s="1"/>
      <c r="H1" s="1"/>
      <c r="I1" s="1"/>
      <c r="J1" s="1"/>
      <c r="K1" s="1"/>
      <c r="L1" s="1"/>
      <c r="M1" s="38"/>
    </row>
    <row r="2" spans="1:14" ht="15" customHeight="1" x14ac:dyDescent="0.45">
      <c r="A2" s="9"/>
      <c r="B2" s="3" t="s">
        <v>32</v>
      </c>
      <c r="C2" s="3"/>
      <c r="D2" s="16"/>
      <c r="E2" s="40" t="s">
        <v>33</v>
      </c>
      <c r="F2" s="40"/>
      <c r="G2" s="40"/>
      <c r="H2" s="40"/>
      <c r="I2" s="40"/>
      <c r="J2" s="40"/>
      <c r="K2" s="40"/>
      <c r="L2" s="40"/>
      <c r="M2" s="9"/>
    </row>
    <row r="3" spans="1:14" ht="15" customHeight="1" x14ac:dyDescent="0.45">
      <c r="A3" s="9"/>
      <c r="B3" s="22" t="s">
        <v>3</v>
      </c>
      <c r="C3" s="10">
        <v>100000</v>
      </c>
      <c r="D3" s="16"/>
      <c r="E3" s="40"/>
      <c r="F3" s="40"/>
      <c r="G3" s="40"/>
      <c r="H3" s="40"/>
      <c r="I3" s="40"/>
      <c r="J3" s="40"/>
      <c r="K3" s="40"/>
      <c r="L3" s="40"/>
      <c r="M3" s="9"/>
    </row>
    <row r="4" spans="1:14" ht="15" customHeight="1" x14ac:dyDescent="0.45">
      <c r="A4" s="9"/>
      <c r="B4" s="17"/>
      <c r="C4" s="17"/>
      <c r="D4" s="16"/>
      <c r="E4" s="17"/>
      <c r="F4" s="17"/>
      <c r="G4" s="17"/>
      <c r="H4" s="17"/>
      <c r="I4" s="17"/>
      <c r="J4" s="17"/>
      <c r="K4" s="17"/>
      <c r="L4" s="17"/>
      <c r="M4" s="9"/>
    </row>
    <row r="5" spans="1:14" ht="15" customHeight="1" x14ac:dyDescent="0.45">
      <c r="A5" s="9"/>
      <c r="B5" s="36" t="s">
        <v>35</v>
      </c>
      <c r="C5" s="36"/>
      <c r="D5" s="37"/>
      <c r="E5" s="36"/>
      <c r="F5" s="36"/>
      <c r="G5" s="36"/>
      <c r="H5" s="36"/>
      <c r="I5" s="36"/>
      <c r="J5" s="36"/>
      <c r="K5" s="36"/>
      <c r="L5" s="36"/>
      <c r="M5" s="9"/>
    </row>
    <row r="6" spans="1:14" ht="15" customHeight="1" x14ac:dyDescent="0.45">
      <c r="A6" s="9"/>
      <c r="B6" s="35" t="s">
        <v>34</v>
      </c>
      <c r="C6" s="33"/>
      <c r="D6" s="34"/>
      <c r="E6" s="33"/>
      <c r="F6" s="33"/>
      <c r="G6" s="33"/>
      <c r="H6" s="33"/>
      <c r="I6" s="33"/>
      <c r="J6" s="33"/>
      <c r="K6" s="33"/>
      <c r="L6" s="33"/>
      <c r="M6" s="9"/>
    </row>
    <row r="7" spans="1:14" ht="15" customHeight="1" x14ac:dyDescent="0.45">
      <c r="A7" s="9"/>
      <c r="B7" s="17"/>
      <c r="C7" s="17"/>
      <c r="E7" s="16"/>
      <c r="F7" s="16"/>
      <c r="G7" s="17"/>
      <c r="H7" s="16"/>
      <c r="I7" s="16"/>
      <c r="J7" s="16"/>
      <c r="K7" s="16"/>
      <c r="L7" s="16"/>
      <c r="M7" s="18"/>
    </row>
    <row r="8" spans="1:14" ht="15" customHeight="1" x14ac:dyDescent="0.45">
      <c r="A8" s="9"/>
      <c r="B8" s="3" t="s">
        <v>36</v>
      </c>
      <c r="C8" s="6" t="s">
        <v>7</v>
      </c>
      <c r="D8" s="6" t="s">
        <v>8</v>
      </c>
      <c r="E8" s="6" t="s">
        <v>9</v>
      </c>
      <c r="F8" s="6" t="s">
        <v>10</v>
      </c>
      <c r="G8" s="6" t="s">
        <v>11</v>
      </c>
      <c r="H8" s="6" t="s">
        <v>12</v>
      </c>
      <c r="I8" s="6" t="s">
        <v>13</v>
      </c>
      <c r="J8" s="6" t="s">
        <v>14</v>
      </c>
      <c r="K8" s="6" t="s">
        <v>15</v>
      </c>
      <c r="L8" s="6" t="s">
        <v>16</v>
      </c>
      <c r="M8" s="9"/>
    </row>
    <row r="9" spans="1:14" ht="15" customHeight="1" x14ac:dyDescent="0.45">
      <c r="A9" s="9"/>
      <c r="B9" s="3" t="s">
        <v>0</v>
      </c>
      <c r="C9" s="15">
        <v>0.2</v>
      </c>
      <c r="D9" s="13"/>
      <c r="E9" s="14"/>
      <c r="F9" s="14"/>
      <c r="G9" s="14"/>
      <c r="H9" s="14"/>
      <c r="I9" s="14"/>
      <c r="J9" s="14"/>
      <c r="K9" s="14"/>
      <c r="L9" s="14"/>
      <c r="M9" s="23"/>
      <c r="N9" s="4"/>
    </row>
    <row r="10" spans="1:14" ht="15" customHeight="1" x14ac:dyDescent="0.45">
      <c r="A10" s="9"/>
      <c r="B10" s="21" t="s">
        <v>1</v>
      </c>
      <c r="C10" s="8">
        <f>($C$3 * $C$9) + $C$3</f>
        <v>120000</v>
      </c>
      <c r="D10" s="2">
        <f>(C10 * $C$9) + C10</f>
        <v>144000</v>
      </c>
      <c r="E10" s="2">
        <f t="shared" ref="E10:L10" si="0">(D10 * $C$9) + D10</f>
        <v>172800</v>
      </c>
      <c r="F10" s="2">
        <f t="shared" si="0"/>
        <v>207360</v>
      </c>
      <c r="G10" s="2">
        <f t="shared" si="0"/>
        <v>248832</v>
      </c>
      <c r="H10" s="2">
        <f t="shared" si="0"/>
        <v>298598.40000000002</v>
      </c>
      <c r="I10" s="2">
        <f t="shared" si="0"/>
        <v>358318.08000000002</v>
      </c>
      <c r="J10" s="2">
        <f t="shared" si="0"/>
        <v>429981.696</v>
      </c>
      <c r="K10" s="2">
        <f t="shared" si="0"/>
        <v>515978.03519999998</v>
      </c>
      <c r="L10" s="2">
        <f t="shared" si="0"/>
        <v>619173.64223999996</v>
      </c>
      <c r="M10" s="23"/>
    </row>
    <row r="11" spans="1:14" ht="15" customHeight="1" x14ac:dyDescent="0.45">
      <c r="A11" s="9"/>
      <c r="B11" s="21" t="s">
        <v>2</v>
      </c>
      <c r="C11" s="11">
        <f>C10*21000000</f>
        <v>2520000000000</v>
      </c>
      <c r="D11" s="12">
        <f t="shared" ref="D11:L11" si="1">D10*21000000</f>
        <v>3024000000000</v>
      </c>
      <c r="E11" s="12">
        <f t="shared" si="1"/>
        <v>3628800000000</v>
      </c>
      <c r="F11" s="12">
        <f t="shared" si="1"/>
        <v>4354560000000</v>
      </c>
      <c r="G11" s="12">
        <f t="shared" si="1"/>
        <v>5225472000000</v>
      </c>
      <c r="H11" s="12">
        <f t="shared" si="1"/>
        <v>6270566400000.001</v>
      </c>
      <c r="I11" s="12">
        <f t="shared" si="1"/>
        <v>7524679680000</v>
      </c>
      <c r="J11" s="12">
        <f t="shared" si="1"/>
        <v>9029615616000</v>
      </c>
      <c r="K11" s="12">
        <f t="shared" si="1"/>
        <v>10835538739200</v>
      </c>
      <c r="L11" s="12">
        <f t="shared" si="1"/>
        <v>13002646487040</v>
      </c>
      <c r="M11" s="23"/>
    </row>
    <row r="12" spans="1:14" ht="15" customHeight="1" x14ac:dyDescent="0.45">
      <c r="A12" s="9"/>
      <c r="B12" s="21" t="s">
        <v>18</v>
      </c>
      <c r="C12" s="31">
        <f>( ( C10 - $C$3 ) ) / C10</f>
        <v>0.16666666666666666</v>
      </c>
      <c r="D12" s="31">
        <f>( ( D10 - $C$3 ) ) / D10</f>
        <v>0.30555555555555558</v>
      </c>
      <c r="E12" s="31">
        <f t="shared" ref="E12:L12" si="2">( ( E10 - $C$3 ) ) / E10</f>
        <v>0.42129629629629628</v>
      </c>
      <c r="F12" s="31">
        <f t="shared" si="2"/>
        <v>0.51774691358024694</v>
      </c>
      <c r="G12" s="31">
        <f t="shared" si="2"/>
        <v>0.5981224279835391</v>
      </c>
      <c r="H12" s="31">
        <f t="shared" si="2"/>
        <v>0.66510202331961599</v>
      </c>
      <c r="I12" s="32">
        <f t="shared" si="2"/>
        <v>0.72091835276634664</v>
      </c>
      <c r="J12" s="32">
        <f t="shared" si="2"/>
        <v>0.76743196063862218</v>
      </c>
      <c r="K12" s="31">
        <f t="shared" si="2"/>
        <v>0.80619330053218508</v>
      </c>
      <c r="L12" s="31">
        <f t="shared" si="2"/>
        <v>0.83849441711015427</v>
      </c>
      <c r="M12" s="28"/>
    </row>
    <row r="13" spans="1:14" ht="15" customHeight="1" x14ac:dyDescent="0.45">
      <c r="A13" s="9"/>
      <c r="B13" s="21" t="s">
        <v>17</v>
      </c>
      <c r="C13" s="31">
        <f>1-C12</f>
        <v>0.83333333333333337</v>
      </c>
      <c r="D13" s="31">
        <f t="shared" ref="D13:L13" si="3">1-D12</f>
        <v>0.69444444444444442</v>
      </c>
      <c r="E13" s="31">
        <f t="shared" si="3"/>
        <v>0.57870370370370372</v>
      </c>
      <c r="F13" s="31">
        <f t="shared" si="3"/>
        <v>0.48225308641975306</v>
      </c>
      <c r="G13" s="31">
        <f t="shared" si="3"/>
        <v>0.4018775720164609</v>
      </c>
      <c r="H13" s="31">
        <f t="shared" si="3"/>
        <v>0.33489797668038401</v>
      </c>
      <c r="I13" s="32">
        <f t="shared" si="3"/>
        <v>0.27908164723365336</v>
      </c>
      <c r="J13" s="32">
        <f t="shared" si="3"/>
        <v>0.23256803936137782</v>
      </c>
      <c r="K13" s="31">
        <f t="shared" si="3"/>
        <v>0.19380669946781492</v>
      </c>
      <c r="L13" s="31">
        <f t="shared" si="3"/>
        <v>0.16150558288984573</v>
      </c>
      <c r="M13" s="28"/>
    </row>
    <row r="14" spans="1:14" ht="15" customHeight="1" x14ac:dyDescent="0.45">
      <c r="A14" s="9"/>
      <c r="B14" s="21" t="s">
        <v>23</v>
      </c>
      <c r="C14" s="27">
        <f>C12</f>
        <v>0.16666666666666666</v>
      </c>
      <c r="D14" s="30">
        <f>D12-C12</f>
        <v>0.13888888888888892</v>
      </c>
      <c r="E14" s="30">
        <f>E12-D12</f>
        <v>0.1157407407407407</v>
      </c>
      <c r="F14" s="30">
        <f t="shared" ref="F14:L14" si="4">F12-E12</f>
        <v>9.6450617283950657E-2</v>
      </c>
      <c r="G14" s="30">
        <f t="shared" si="4"/>
        <v>8.0375514403292159E-2</v>
      </c>
      <c r="H14" s="30">
        <f t="shared" si="4"/>
        <v>6.6979595336076891E-2</v>
      </c>
      <c r="I14" s="30">
        <f t="shared" si="4"/>
        <v>5.581632944673065E-2</v>
      </c>
      <c r="J14" s="30">
        <f t="shared" si="4"/>
        <v>4.6513607872275542E-2</v>
      </c>
      <c r="K14" s="30">
        <f t="shared" si="4"/>
        <v>3.8761339893562896E-2</v>
      </c>
      <c r="L14" s="30">
        <f t="shared" si="4"/>
        <v>3.2301116577969191E-2</v>
      </c>
      <c r="M14" s="23"/>
    </row>
    <row r="15" spans="1:14" ht="15" customHeight="1" x14ac:dyDescent="0.45">
      <c r="A15" s="9"/>
      <c r="B15" s="21" t="s">
        <v>24</v>
      </c>
      <c r="C15" s="24"/>
      <c r="D15" s="25"/>
      <c r="E15" s="25"/>
      <c r="F15" s="25"/>
      <c r="G15" s="25">
        <f>SUM(C14:G14)/5</f>
        <v>0.11962448559670782</v>
      </c>
      <c r="H15" s="26"/>
      <c r="I15" s="26"/>
      <c r="J15" s="26"/>
      <c r="K15" s="26"/>
      <c r="L15" s="25">
        <f>SUM(C14:L14)/10</f>
        <v>8.3849441711015424E-2</v>
      </c>
      <c r="M15" s="23"/>
    </row>
    <row r="16" spans="1:14" ht="15" customHeight="1" x14ac:dyDescent="0.45">
      <c r="A16" s="9"/>
      <c r="B16" s="3" t="s">
        <v>0</v>
      </c>
      <c r="C16" s="15">
        <v>0.25</v>
      </c>
      <c r="D16" s="13"/>
      <c r="E16" s="14"/>
      <c r="F16" s="14"/>
      <c r="G16" s="14"/>
      <c r="H16" s="14"/>
      <c r="I16" s="14"/>
      <c r="J16" s="14"/>
      <c r="K16" s="14"/>
      <c r="L16" s="14"/>
      <c r="M16" s="9"/>
    </row>
    <row r="17" spans="1:13" ht="15" customHeight="1" x14ac:dyDescent="0.45">
      <c r="A17" s="9"/>
      <c r="B17" s="21" t="s">
        <v>1</v>
      </c>
      <c r="C17" s="8">
        <f>($C$3 * $C$16) + $C$3</f>
        <v>125000</v>
      </c>
      <c r="D17" s="2">
        <f>(C17 * $C$16) + C17</f>
        <v>156250</v>
      </c>
      <c r="E17" s="2">
        <f t="shared" ref="E17:L17" si="5">(D17 * $C$16) + D17</f>
        <v>195312.5</v>
      </c>
      <c r="F17" s="2">
        <f t="shared" si="5"/>
        <v>244140.625</v>
      </c>
      <c r="G17" s="2">
        <f t="shared" si="5"/>
        <v>305175.78125</v>
      </c>
      <c r="H17" s="2">
        <f t="shared" si="5"/>
        <v>381469.7265625</v>
      </c>
      <c r="I17" s="2">
        <f t="shared" si="5"/>
        <v>476837.158203125</v>
      </c>
      <c r="J17" s="2">
        <f t="shared" si="5"/>
        <v>596046.44775390625</v>
      </c>
      <c r="K17" s="2">
        <f t="shared" si="5"/>
        <v>745058.05969238281</v>
      </c>
      <c r="L17" s="2">
        <f t="shared" si="5"/>
        <v>931322.57461547852</v>
      </c>
      <c r="M17" s="9"/>
    </row>
    <row r="18" spans="1:13" ht="15" customHeight="1" x14ac:dyDescent="0.45">
      <c r="A18" s="9"/>
      <c r="B18" s="21" t="s">
        <v>2</v>
      </c>
      <c r="C18" s="11">
        <f>C17*21000000</f>
        <v>2625000000000</v>
      </c>
      <c r="D18" s="12">
        <f t="shared" ref="D18:L18" si="6">D17*21000000</f>
        <v>3281250000000</v>
      </c>
      <c r="E18" s="12">
        <f t="shared" si="6"/>
        <v>4101562500000</v>
      </c>
      <c r="F18" s="12">
        <f t="shared" si="6"/>
        <v>5126953125000</v>
      </c>
      <c r="G18" s="12">
        <f t="shared" si="6"/>
        <v>6408691406250</v>
      </c>
      <c r="H18" s="12">
        <f t="shared" si="6"/>
        <v>8010864257812.5</v>
      </c>
      <c r="I18" s="12">
        <f t="shared" si="6"/>
        <v>10013580322265.625</v>
      </c>
      <c r="J18" s="12">
        <f t="shared" si="6"/>
        <v>12516975402832.031</v>
      </c>
      <c r="K18" s="12">
        <f t="shared" si="6"/>
        <v>15646219253540.039</v>
      </c>
      <c r="L18" s="12">
        <f t="shared" si="6"/>
        <v>19557774066925.047</v>
      </c>
      <c r="M18" s="9"/>
    </row>
    <row r="19" spans="1:13" ht="15" customHeight="1" x14ac:dyDescent="0.45">
      <c r="A19" s="9"/>
      <c r="B19" s="21" t="s">
        <v>18</v>
      </c>
      <c r="C19" s="31">
        <f>( ( C17 - $C$3 ) ) / C17</f>
        <v>0.2</v>
      </c>
      <c r="D19" s="31">
        <f>( ( D17 - $C$3 ) ) / D17</f>
        <v>0.36</v>
      </c>
      <c r="E19" s="31">
        <f t="shared" ref="E19:L19" si="7">( ( E17 - $C$3 ) ) / E17</f>
        <v>0.48799999999999999</v>
      </c>
      <c r="F19" s="31">
        <f t="shared" si="7"/>
        <v>0.59040000000000004</v>
      </c>
      <c r="G19" s="31">
        <f t="shared" si="7"/>
        <v>0.67232000000000003</v>
      </c>
      <c r="H19" s="32">
        <f t="shared" si="7"/>
        <v>0.73785599999999996</v>
      </c>
      <c r="I19" s="32">
        <f t="shared" si="7"/>
        <v>0.79028480000000001</v>
      </c>
      <c r="J19" s="31">
        <f t="shared" si="7"/>
        <v>0.83222784000000005</v>
      </c>
      <c r="K19" s="31">
        <f t="shared" si="7"/>
        <v>0.86578227200000002</v>
      </c>
      <c r="L19" s="31">
        <f t="shared" si="7"/>
        <v>0.89262581760000004</v>
      </c>
      <c r="M19" s="9"/>
    </row>
    <row r="20" spans="1:13" ht="15" customHeight="1" x14ac:dyDescent="0.45">
      <c r="A20" s="9"/>
      <c r="B20" s="21" t="s">
        <v>17</v>
      </c>
      <c r="C20" s="31">
        <f>1-C19</f>
        <v>0.8</v>
      </c>
      <c r="D20" s="31">
        <f t="shared" ref="D20:L20" si="8">1-D19</f>
        <v>0.64</v>
      </c>
      <c r="E20" s="31">
        <f t="shared" si="8"/>
        <v>0.51200000000000001</v>
      </c>
      <c r="F20" s="31">
        <f t="shared" si="8"/>
        <v>0.40959999999999996</v>
      </c>
      <c r="G20" s="31">
        <f t="shared" si="8"/>
        <v>0.32767999999999997</v>
      </c>
      <c r="H20" s="32">
        <f t="shared" si="8"/>
        <v>0.26214400000000004</v>
      </c>
      <c r="I20" s="32">
        <f t="shared" si="8"/>
        <v>0.20971519999999999</v>
      </c>
      <c r="J20" s="31">
        <f t="shared" si="8"/>
        <v>0.16777215999999995</v>
      </c>
      <c r="K20" s="31">
        <f t="shared" si="8"/>
        <v>0.13421772799999998</v>
      </c>
      <c r="L20" s="31">
        <f t="shared" si="8"/>
        <v>0.10737418239999996</v>
      </c>
      <c r="M20" s="9"/>
    </row>
    <row r="21" spans="1:13" ht="15" customHeight="1" x14ac:dyDescent="0.45">
      <c r="A21" s="9"/>
      <c r="B21" s="21" t="s">
        <v>23</v>
      </c>
      <c r="C21" s="27">
        <f>C19</f>
        <v>0.2</v>
      </c>
      <c r="D21" s="30">
        <f>D19-C19</f>
        <v>0.15999999999999998</v>
      </c>
      <c r="E21" s="30">
        <f>E19-D19</f>
        <v>0.128</v>
      </c>
      <c r="F21" s="30">
        <f t="shared" ref="F21" si="9">F19-E19</f>
        <v>0.10240000000000005</v>
      </c>
      <c r="G21" s="30">
        <f t="shared" ref="G21" si="10">G19-F19</f>
        <v>8.1919999999999993E-2</v>
      </c>
      <c r="H21" s="30">
        <f t="shared" ref="H21" si="11">H19-G19</f>
        <v>6.5535999999999928E-2</v>
      </c>
      <c r="I21" s="30">
        <f t="shared" ref="I21" si="12">I19-H19</f>
        <v>5.2428800000000053E-2</v>
      </c>
      <c r="J21" s="30">
        <f t="shared" ref="J21" si="13">J19-I19</f>
        <v>4.1943040000000043E-2</v>
      </c>
      <c r="K21" s="30">
        <f t="shared" ref="K21" si="14">K19-J19</f>
        <v>3.3554431999999967E-2</v>
      </c>
      <c r="L21" s="30">
        <f t="shared" ref="L21" si="15">L19-K19</f>
        <v>2.6843545600000018E-2</v>
      </c>
      <c r="M21" s="9"/>
    </row>
    <row r="22" spans="1:13" ht="15" customHeight="1" x14ac:dyDescent="0.45">
      <c r="A22" s="9"/>
      <c r="B22" s="21" t="s">
        <v>24</v>
      </c>
      <c r="C22" s="24"/>
      <c r="D22" s="25"/>
      <c r="E22" s="25"/>
      <c r="F22" s="25"/>
      <c r="G22" s="25">
        <f>SUM(C21:G21)/5</f>
        <v>0.134464</v>
      </c>
      <c r="H22" s="26"/>
      <c r="I22" s="26"/>
      <c r="J22" s="26"/>
      <c r="K22" s="26"/>
      <c r="L22" s="25">
        <f>SUM(C21:L21)/10</f>
        <v>8.9262581760000001E-2</v>
      </c>
      <c r="M22" s="9"/>
    </row>
    <row r="23" spans="1:13" ht="15" customHeight="1" x14ac:dyDescent="0.45">
      <c r="A23" s="9"/>
      <c r="B23" s="3" t="s">
        <v>0</v>
      </c>
      <c r="C23" s="15">
        <v>0.3</v>
      </c>
      <c r="D23" s="13"/>
      <c r="E23" s="14"/>
      <c r="F23" s="14"/>
      <c r="G23" s="14"/>
      <c r="H23" s="14"/>
      <c r="I23" s="14"/>
      <c r="J23" s="14"/>
      <c r="K23" s="14"/>
      <c r="L23" s="14"/>
      <c r="M23" s="9"/>
    </row>
    <row r="24" spans="1:13" ht="15" customHeight="1" x14ac:dyDescent="0.45">
      <c r="A24" s="9"/>
      <c r="B24" s="21" t="s">
        <v>1</v>
      </c>
      <c r="C24" s="8">
        <f>($C$3 * $C$23) + $C$3</f>
        <v>130000</v>
      </c>
      <c r="D24" s="2">
        <f>(C24 * $C$23) + C24</f>
        <v>169000</v>
      </c>
      <c r="E24" s="2">
        <f t="shared" ref="E24:L24" si="16">(D24 * $C$23) + D24</f>
        <v>219700</v>
      </c>
      <c r="F24" s="2">
        <f t="shared" si="16"/>
        <v>285610</v>
      </c>
      <c r="G24" s="2">
        <f t="shared" si="16"/>
        <v>371293</v>
      </c>
      <c r="H24" s="2">
        <f t="shared" si="16"/>
        <v>482680.9</v>
      </c>
      <c r="I24" s="2">
        <f t="shared" si="16"/>
        <v>627485.17000000004</v>
      </c>
      <c r="J24" s="2">
        <f t="shared" si="16"/>
        <v>815730.72100000002</v>
      </c>
      <c r="K24" s="2">
        <f t="shared" si="16"/>
        <v>1060449.9373000001</v>
      </c>
      <c r="L24" s="2">
        <f t="shared" si="16"/>
        <v>1378584.9184900001</v>
      </c>
      <c r="M24" s="9"/>
    </row>
    <row r="25" spans="1:13" ht="15" customHeight="1" x14ac:dyDescent="0.45">
      <c r="A25" s="9"/>
      <c r="B25" s="21" t="s">
        <v>2</v>
      </c>
      <c r="C25" s="11">
        <f>C24*21000000</f>
        <v>2730000000000</v>
      </c>
      <c r="D25" s="12">
        <f t="shared" ref="D25:L25" si="17">D24*21000000</f>
        <v>3549000000000</v>
      </c>
      <c r="E25" s="12">
        <f t="shared" si="17"/>
        <v>4613700000000</v>
      </c>
      <c r="F25" s="12">
        <f t="shared" si="17"/>
        <v>5997810000000</v>
      </c>
      <c r="G25" s="12">
        <f t="shared" si="17"/>
        <v>7797153000000</v>
      </c>
      <c r="H25" s="12">
        <f t="shared" si="17"/>
        <v>10136298900000</v>
      </c>
      <c r="I25" s="12">
        <f t="shared" si="17"/>
        <v>13177188570000</v>
      </c>
      <c r="J25" s="12">
        <f t="shared" si="17"/>
        <v>17130345141000</v>
      </c>
      <c r="K25" s="12">
        <f t="shared" si="17"/>
        <v>22269448683300.004</v>
      </c>
      <c r="L25" s="12">
        <f t="shared" si="17"/>
        <v>28950283288290</v>
      </c>
      <c r="M25" s="9"/>
    </row>
    <row r="26" spans="1:13" ht="15" customHeight="1" x14ac:dyDescent="0.45">
      <c r="A26" s="9"/>
      <c r="B26" s="21" t="s">
        <v>18</v>
      </c>
      <c r="C26" s="31">
        <f>( ( C24 - $C$3 ) ) / C24</f>
        <v>0.23076923076923078</v>
      </c>
      <c r="D26" s="31">
        <f>( ( D24 - $C$3 ) ) / D24</f>
        <v>0.40828402366863903</v>
      </c>
      <c r="E26" s="31">
        <f t="shared" ref="E26:L26" si="18">( ( E24 - $C$3 ) ) / E24</f>
        <v>0.54483386436049153</v>
      </c>
      <c r="F26" s="31">
        <f t="shared" si="18"/>
        <v>0.64987220335422424</v>
      </c>
      <c r="G26" s="32">
        <f t="shared" si="18"/>
        <v>0.73067092565709557</v>
      </c>
      <c r="H26" s="32">
        <f t="shared" si="18"/>
        <v>0.79282378896699668</v>
      </c>
      <c r="I26" s="31">
        <f t="shared" si="18"/>
        <v>0.84063368382076664</v>
      </c>
      <c r="J26" s="31">
        <f t="shared" si="18"/>
        <v>0.87741052601597436</v>
      </c>
      <c r="K26" s="31">
        <f t="shared" si="18"/>
        <v>0.90570040462767254</v>
      </c>
      <c r="L26" s="31">
        <f t="shared" si="18"/>
        <v>0.92746184971359424</v>
      </c>
      <c r="M26" s="9"/>
    </row>
    <row r="27" spans="1:13" ht="15" customHeight="1" x14ac:dyDescent="0.45">
      <c r="A27" s="9"/>
      <c r="B27" s="21" t="s">
        <v>17</v>
      </c>
      <c r="C27" s="31">
        <f>1-C26</f>
        <v>0.76923076923076916</v>
      </c>
      <c r="D27" s="31">
        <f t="shared" ref="D27:L27" si="19">1-D26</f>
        <v>0.59171597633136097</v>
      </c>
      <c r="E27" s="31">
        <f t="shared" si="19"/>
        <v>0.45516613563950847</v>
      </c>
      <c r="F27" s="31">
        <f t="shared" si="19"/>
        <v>0.35012779664577576</v>
      </c>
      <c r="G27" s="32">
        <f t="shared" si="19"/>
        <v>0.26932907434290443</v>
      </c>
      <c r="H27" s="32">
        <f t="shared" si="19"/>
        <v>0.20717621103300332</v>
      </c>
      <c r="I27" s="31">
        <f t="shared" si="19"/>
        <v>0.15936631617923336</v>
      </c>
      <c r="J27" s="31">
        <f t="shared" si="19"/>
        <v>0.12258947398402564</v>
      </c>
      <c r="K27" s="31">
        <f t="shared" si="19"/>
        <v>9.429959537232746E-2</v>
      </c>
      <c r="L27" s="31">
        <f t="shared" si="19"/>
        <v>7.2538150286405756E-2</v>
      </c>
      <c r="M27" s="9"/>
    </row>
    <row r="28" spans="1:13" ht="15" customHeight="1" x14ac:dyDescent="0.45">
      <c r="A28" s="9"/>
      <c r="B28" s="21" t="s">
        <v>23</v>
      </c>
      <c r="C28" s="27">
        <f>C26</f>
        <v>0.23076923076923078</v>
      </c>
      <c r="D28" s="30">
        <f>D26-C26</f>
        <v>0.17751479289940825</v>
      </c>
      <c r="E28" s="30">
        <f>E26-D26</f>
        <v>0.1365498406918525</v>
      </c>
      <c r="F28" s="30">
        <f t="shared" ref="F28" si="20">F26-E26</f>
        <v>0.10503833899373272</v>
      </c>
      <c r="G28" s="30">
        <f t="shared" ref="G28" si="21">G26-F26</f>
        <v>8.0798722302871329E-2</v>
      </c>
      <c r="H28" s="30">
        <f t="shared" ref="H28" si="22">H26-G26</f>
        <v>6.2152863309901107E-2</v>
      </c>
      <c r="I28" s="30">
        <f t="shared" ref="I28" si="23">I26-H26</f>
        <v>4.7809894853769963E-2</v>
      </c>
      <c r="J28" s="30">
        <f t="shared" ref="J28" si="24">J26-I26</f>
        <v>3.6776842195207715E-2</v>
      </c>
      <c r="K28" s="30">
        <f t="shared" ref="K28" si="25">K26-J26</f>
        <v>2.8289878611698183E-2</v>
      </c>
      <c r="L28" s="30">
        <f t="shared" ref="L28" si="26">L26-K26</f>
        <v>2.1761445085921705E-2</v>
      </c>
      <c r="M28" s="9"/>
    </row>
    <row r="29" spans="1:13" ht="15" customHeight="1" x14ac:dyDescent="0.45">
      <c r="A29" s="9"/>
      <c r="B29" s="21" t="s">
        <v>24</v>
      </c>
      <c r="C29" s="24"/>
      <c r="D29" s="25"/>
      <c r="E29" s="25"/>
      <c r="F29" s="25"/>
      <c r="G29" s="25">
        <f>SUM(C28:G28)/5</f>
        <v>0.14613418513141913</v>
      </c>
      <c r="H29" s="26"/>
      <c r="I29" s="26"/>
      <c r="J29" s="26"/>
      <c r="K29" s="26"/>
      <c r="L29" s="25">
        <f>SUM(C28:L28)/10</f>
        <v>9.2746184971359419E-2</v>
      </c>
      <c r="M29" s="9"/>
    </row>
    <row r="30" spans="1:13" ht="15" customHeight="1" x14ac:dyDescent="0.45">
      <c r="A30" s="9"/>
      <c r="B30" s="3" t="s">
        <v>0</v>
      </c>
      <c r="C30" s="15">
        <v>0.35</v>
      </c>
      <c r="D30" s="13"/>
      <c r="E30" s="14"/>
      <c r="F30" s="14"/>
      <c r="G30" s="14"/>
      <c r="H30" s="14"/>
      <c r="I30" s="14"/>
      <c r="J30" s="14"/>
      <c r="K30" s="14"/>
      <c r="L30" s="14"/>
      <c r="M30" s="9"/>
    </row>
    <row r="31" spans="1:13" ht="15" customHeight="1" x14ac:dyDescent="0.45">
      <c r="A31" s="9"/>
      <c r="B31" s="21" t="s">
        <v>1</v>
      </c>
      <c r="C31" s="8">
        <f>($C$3 * $C$30) + $C$3</f>
        <v>135000</v>
      </c>
      <c r="D31" s="2">
        <f>(C31 * $C$30) + C31</f>
        <v>182250</v>
      </c>
      <c r="E31" s="2">
        <f t="shared" ref="E31:L31" si="27">(D31 * $C$30) + D31</f>
        <v>246037.5</v>
      </c>
      <c r="F31" s="2">
        <f t="shared" si="27"/>
        <v>332150.625</v>
      </c>
      <c r="G31" s="2">
        <f t="shared" si="27"/>
        <v>448403.34375</v>
      </c>
      <c r="H31" s="2">
        <f t="shared" si="27"/>
        <v>605344.51406249998</v>
      </c>
      <c r="I31" s="2">
        <f t="shared" si="27"/>
        <v>817215.09398437501</v>
      </c>
      <c r="J31" s="2">
        <f t="shared" si="27"/>
        <v>1103240.3768789063</v>
      </c>
      <c r="K31" s="2">
        <f t="shared" si="27"/>
        <v>1489374.5087865235</v>
      </c>
      <c r="L31" s="2">
        <f t="shared" si="27"/>
        <v>2010655.5868618067</v>
      </c>
      <c r="M31" s="9"/>
    </row>
    <row r="32" spans="1:13" ht="15" customHeight="1" x14ac:dyDescent="0.45">
      <c r="A32" s="9"/>
      <c r="B32" s="21" t="s">
        <v>2</v>
      </c>
      <c r="C32" s="11">
        <f>C31*21000000</f>
        <v>2835000000000</v>
      </c>
      <c r="D32" s="12">
        <f t="shared" ref="D32:L32" si="28">D31*21000000</f>
        <v>3827250000000</v>
      </c>
      <c r="E32" s="12">
        <f t="shared" si="28"/>
        <v>5166787500000</v>
      </c>
      <c r="F32" s="12">
        <f t="shared" si="28"/>
        <v>6975163125000</v>
      </c>
      <c r="G32" s="12">
        <f t="shared" si="28"/>
        <v>9416470218750</v>
      </c>
      <c r="H32" s="12">
        <f t="shared" si="28"/>
        <v>12712234795312.5</v>
      </c>
      <c r="I32" s="12">
        <f t="shared" si="28"/>
        <v>17161516973671.875</v>
      </c>
      <c r="J32" s="12">
        <f t="shared" si="28"/>
        <v>23168047914457.031</v>
      </c>
      <c r="K32" s="12">
        <f t="shared" si="28"/>
        <v>31276864684516.992</v>
      </c>
      <c r="L32" s="12">
        <f t="shared" si="28"/>
        <v>42223767324097.938</v>
      </c>
      <c r="M32" s="9"/>
    </row>
    <row r="33" spans="1:13" ht="15" customHeight="1" x14ac:dyDescent="0.45">
      <c r="A33" s="9"/>
      <c r="B33" s="21" t="s">
        <v>18</v>
      </c>
      <c r="C33" s="31">
        <f>( ( C31 - $C$3 ) ) / C31</f>
        <v>0.25925925925925924</v>
      </c>
      <c r="D33" s="31">
        <f>( ( D31 - $C$3 ) ) / D31</f>
        <v>0.45130315500685869</v>
      </c>
      <c r="E33" s="31">
        <f t="shared" ref="E33:L33" si="29">( ( E31 - $C$3 ) ) / E31</f>
        <v>0.59355789259767311</v>
      </c>
      <c r="F33" s="32">
        <f t="shared" si="29"/>
        <v>0.69893177229457271</v>
      </c>
      <c r="G33" s="32">
        <f t="shared" si="29"/>
        <v>0.77698649799597974</v>
      </c>
      <c r="H33" s="31">
        <f t="shared" si="29"/>
        <v>0.83480481333035539</v>
      </c>
      <c r="I33" s="31">
        <f t="shared" si="29"/>
        <v>0.87763319505952253</v>
      </c>
      <c r="J33" s="31">
        <f t="shared" si="29"/>
        <v>0.90935792226631296</v>
      </c>
      <c r="K33" s="31">
        <f t="shared" si="29"/>
        <v>0.93285772019726887</v>
      </c>
      <c r="L33" s="31">
        <f t="shared" si="29"/>
        <v>0.95026497792390285</v>
      </c>
      <c r="M33" s="9"/>
    </row>
    <row r="34" spans="1:13" ht="15" customHeight="1" x14ac:dyDescent="0.45">
      <c r="A34" s="9"/>
      <c r="B34" s="21" t="s">
        <v>17</v>
      </c>
      <c r="C34" s="31">
        <f>1-C33</f>
        <v>0.7407407407407407</v>
      </c>
      <c r="D34" s="31">
        <f t="shared" ref="D34:L34" si="30">1-D33</f>
        <v>0.54869684499314131</v>
      </c>
      <c r="E34" s="31">
        <f t="shared" si="30"/>
        <v>0.40644210740232689</v>
      </c>
      <c r="F34" s="32">
        <f t="shared" si="30"/>
        <v>0.30106822770542729</v>
      </c>
      <c r="G34" s="32">
        <f t="shared" si="30"/>
        <v>0.22301350200402026</v>
      </c>
      <c r="H34" s="31">
        <f t="shared" si="30"/>
        <v>0.16519518666964461</v>
      </c>
      <c r="I34" s="31">
        <f t="shared" si="30"/>
        <v>0.12236680494047747</v>
      </c>
      <c r="J34" s="31">
        <f t="shared" si="30"/>
        <v>9.0642077733687043E-2</v>
      </c>
      <c r="K34" s="31">
        <f t="shared" si="30"/>
        <v>6.7142279802731131E-2</v>
      </c>
      <c r="L34" s="31">
        <f t="shared" si="30"/>
        <v>4.9735022076097146E-2</v>
      </c>
      <c r="M34" s="9"/>
    </row>
    <row r="35" spans="1:13" ht="15" customHeight="1" x14ac:dyDescent="0.45">
      <c r="A35" s="9"/>
      <c r="B35" s="21" t="s">
        <v>23</v>
      </c>
      <c r="C35" s="27">
        <f>C33</f>
        <v>0.25925925925925924</v>
      </c>
      <c r="D35" s="30">
        <f>D33-C33</f>
        <v>0.19204389574759945</v>
      </c>
      <c r="E35" s="30">
        <f>E33-D33</f>
        <v>0.14225473759081442</v>
      </c>
      <c r="F35" s="30">
        <f t="shared" ref="F35" si="31">F33-E33</f>
        <v>0.1053738796968996</v>
      </c>
      <c r="G35" s="30">
        <f t="shared" ref="G35" si="32">G33-F33</f>
        <v>7.8054725701407035E-2</v>
      </c>
      <c r="H35" s="30">
        <f t="shared" ref="H35" si="33">H33-G33</f>
        <v>5.7818315334375647E-2</v>
      </c>
      <c r="I35" s="30">
        <f t="shared" ref="I35" si="34">I33-H33</f>
        <v>4.2828381729167142E-2</v>
      </c>
      <c r="J35" s="30">
        <f t="shared" ref="J35" si="35">J33-I33</f>
        <v>3.1724727206790426E-2</v>
      </c>
      <c r="K35" s="30">
        <f t="shared" ref="K35" si="36">K33-J33</f>
        <v>2.3499797930955912E-2</v>
      </c>
      <c r="L35" s="30">
        <f t="shared" ref="L35" si="37">L33-K33</f>
        <v>1.7407257726633985E-2</v>
      </c>
      <c r="M35" s="9"/>
    </row>
    <row r="36" spans="1:13" ht="15" customHeight="1" x14ac:dyDescent="0.45">
      <c r="A36" s="9"/>
      <c r="B36" s="21" t="s">
        <v>24</v>
      </c>
      <c r="C36" s="24"/>
      <c r="D36" s="25"/>
      <c r="E36" s="25"/>
      <c r="F36" s="25"/>
      <c r="G36" s="25">
        <f>SUM(C35:G35)/5</f>
        <v>0.15539729959919596</v>
      </c>
      <c r="H36" s="26"/>
      <c r="I36" s="26"/>
      <c r="J36" s="26"/>
      <c r="K36" s="26"/>
      <c r="L36" s="25">
        <f>SUM(C35:L35)/10</f>
        <v>9.502649779239028E-2</v>
      </c>
      <c r="M36" s="9"/>
    </row>
    <row r="37" spans="1:13" ht="15" customHeight="1" x14ac:dyDescent="0.45">
      <c r="A37" s="9"/>
      <c r="B37" s="3" t="s">
        <v>0</v>
      </c>
      <c r="C37" s="15">
        <v>0.4</v>
      </c>
      <c r="D37" s="13"/>
      <c r="E37" s="14"/>
      <c r="F37" s="14"/>
      <c r="G37" s="14"/>
      <c r="H37" s="14"/>
      <c r="I37" s="14"/>
      <c r="J37" s="14"/>
      <c r="K37" s="14"/>
      <c r="L37" s="14"/>
      <c r="M37" s="9"/>
    </row>
    <row r="38" spans="1:13" ht="15" customHeight="1" x14ac:dyDescent="0.45">
      <c r="A38" s="9"/>
      <c r="B38" s="21" t="s">
        <v>1</v>
      </c>
      <c r="C38" s="8">
        <f>($C$3 * $C$37) + $C$3</f>
        <v>140000</v>
      </c>
      <c r="D38" s="2">
        <f>(C38 * $C$37) + C38</f>
        <v>196000</v>
      </c>
      <c r="E38" s="2">
        <f t="shared" ref="E38:L38" si="38">(D38 * $C$37) + D38</f>
        <v>274400</v>
      </c>
      <c r="F38" s="2">
        <f t="shared" si="38"/>
        <v>384160</v>
      </c>
      <c r="G38" s="2">
        <f t="shared" si="38"/>
        <v>537824</v>
      </c>
      <c r="H38" s="2">
        <f t="shared" si="38"/>
        <v>752953.6</v>
      </c>
      <c r="I38" s="2">
        <f t="shared" si="38"/>
        <v>1054135.04</v>
      </c>
      <c r="J38" s="2">
        <f t="shared" si="38"/>
        <v>1475789.0560000001</v>
      </c>
      <c r="K38" s="2">
        <f t="shared" si="38"/>
        <v>2066104.6784000001</v>
      </c>
      <c r="L38" s="2">
        <f t="shared" si="38"/>
        <v>2892546.5497600003</v>
      </c>
      <c r="M38" s="9"/>
    </row>
    <row r="39" spans="1:13" ht="15" customHeight="1" x14ac:dyDescent="0.45">
      <c r="A39" s="9"/>
      <c r="B39" s="21" t="s">
        <v>2</v>
      </c>
      <c r="C39" s="11">
        <f>C38*21000000</f>
        <v>2940000000000</v>
      </c>
      <c r="D39" s="12">
        <f t="shared" ref="D39:L39" si="39">D38*21000000</f>
        <v>4116000000000</v>
      </c>
      <c r="E39" s="12">
        <f t="shared" si="39"/>
        <v>5762400000000</v>
      </c>
      <c r="F39" s="12">
        <f t="shared" si="39"/>
        <v>8067360000000</v>
      </c>
      <c r="G39" s="12">
        <f t="shared" si="39"/>
        <v>11294304000000</v>
      </c>
      <c r="H39" s="12">
        <f t="shared" si="39"/>
        <v>15812025600000</v>
      </c>
      <c r="I39" s="12">
        <f t="shared" si="39"/>
        <v>22136835840000</v>
      </c>
      <c r="J39" s="12">
        <f t="shared" si="39"/>
        <v>30991570176000.004</v>
      </c>
      <c r="K39" s="12">
        <f t="shared" si="39"/>
        <v>43388198246400</v>
      </c>
      <c r="L39" s="12">
        <f t="shared" si="39"/>
        <v>60743477544960.008</v>
      </c>
      <c r="M39" s="9"/>
    </row>
    <row r="40" spans="1:13" ht="15" customHeight="1" x14ac:dyDescent="0.45">
      <c r="A40" s="9"/>
      <c r="B40" s="21" t="s">
        <v>18</v>
      </c>
      <c r="C40" s="31">
        <f>( ( C38 - $C$3 ) ) / C38</f>
        <v>0.2857142857142857</v>
      </c>
      <c r="D40" s="31">
        <f>( ( D38 - $C$3 ) ) / D38</f>
        <v>0.48979591836734693</v>
      </c>
      <c r="E40" s="31">
        <f t="shared" ref="E40:L40" si="40">( ( E38 - $C$3 ) ) / E38</f>
        <v>0.63556851311953355</v>
      </c>
      <c r="F40" s="32">
        <f t="shared" si="40"/>
        <v>0.73969179508538108</v>
      </c>
      <c r="G40" s="32">
        <f t="shared" si="40"/>
        <v>0.81406556791812934</v>
      </c>
      <c r="H40" s="31">
        <f t="shared" si="40"/>
        <v>0.86718969137009239</v>
      </c>
      <c r="I40" s="31">
        <f t="shared" si="40"/>
        <v>0.90513549383578029</v>
      </c>
      <c r="J40" s="31">
        <f t="shared" si="40"/>
        <v>0.93223963845412883</v>
      </c>
      <c r="K40" s="31">
        <f t="shared" si="40"/>
        <v>0.95159974175294915</v>
      </c>
      <c r="L40" s="31">
        <f t="shared" si="40"/>
        <v>0.96542838696639222</v>
      </c>
      <c r="M40" s="9"/>
    </row>
    <row r="41" spans="1:13" ht="15" customHeight="1" x14ac:dyDescent="0.45">
      <c r="A41" s="9"/>
      <c r="B41" s="21" t="s">
        <v>17</v>
      </c>
      <c r="C41" s="31">
        <f>1-C40</f>
        <v>0.7142857142857143</v>
      </c>
      <c r="D41" s="31">
        <f t="shared" ref="D41:L41" si="41">1-D40</f>
        <v>0.51020408163265307</v>
      </c>
      <c r="E41" s="31">
        <f t="shared" si="41"/>
        <v>0.36443148688046645</v>
      </c>
      <c r="F41" s="32">
        <f t="shared" si="41"/>
        <v>0.26030820491461892</v>
      </c>
      <c r="G41" s="32">
        <f t="shared" si="41"/>
        <v>0.18593443208187066</v>
      </c>
      <c r="H41" s="31">
        <f t="shared" si="41"/>
        <v>0.13281030862990761</v>
      </c>
      <c r="I41" s="31">
        <f t="shared" si="41"/>
        <v>9.4864506164219708E-2</v>
      </c>
      <c r="J41" s="31">
        <f t="shared" si="41"/>
        <v>6.7760361545871173E-2</v>
      </c>
      <c r="K41" s="31">
        <f t="shared" si="41"/>
        <v>4.8400258247050854E-2</v>
      </c>
      <c r="L41" s="31">
        <f t="shared" si="41"/>
        <v>3.4571613033607784E-2</v>
      </c>
      <c r="M41" s="9"/>
    </row>
    <row r="42" spans="1:13" ht="15" customHeight="1" x14ac:dyDescent="0.45">
      <c r="A42" s="9"/>
      <c r="B42" s="21" t="s">
        <v>23</v>
      </c>
      <c r="C42" s="27">
        <f>C40</f>
        <v>0.2857142857142857</v>
      </c>
      <c r="D42" s="30">
        <f>D40-C40</f>
        <v>0.20408163265306123</v>
      </c>
      <c r="E42" s="30">
        <f>E40-D40</f>
        <v>0.14577259475218662</v>
      </c>
      <c r="F42" s="30">
        <f t="shared" ref="F42" si="42">F40-E40</f>
        <v>0.10412328196584753</v>
      </c>
      <c r="G42" s="30">
        <f t="shared" ref="G42" si="43">G40-F40</f>
        <v>7.4373772832748264E-2</v>
      </c>
      <c r="H42" s="30">
        <f t="shared" ref="H42" si="44">H40-G40</f>
        <v>5.3124123451963046E-2</v>
      </c>
      <c r="I42" s="30">
        <f t="shared" ref="I42" si="45">I40-H40</f>
        <v>3.7945802465687906E-2</v>
      </c>
      <c r="J42" s="30">
        <f t="shared" ref="J42" si="46">J40-I40</f>
        <v>2.7104144618348536E-2</v>
      </c>
      <c r="K42" s="30">
        <f t="shared" ref="K42" si="47">K40-J40</f>
        <v>1.9360103298820319E-2</v>
      </c>
      <c r="L42" s="30">
        <f t="shared" ref="L42" si="48">L40-K40</f>
        <v>1.3828645213443069E-2</v>
      </c>
      <c r="M42" s="9"/>
    </row>
    <row r="43" spans="1:13" ht="15" customHeight="1" x14ac:dyDescent="0.45">
      <c r="A43" s="9"/>
      <c r="B43" s="21" t="s">
        <v>24</v>
      </c>
      <c r="C43" s="39"/>
      <c r="D43" s="20"/>
      <c r="E43" s="20"/>
      <c r="F43" s="20"/>
      <c r="G43" s="20">
        <f>SUM(C42:G42)/5</f>
        <v>0.16281311358362588</v>
      </c>
      <c r="H43" s="19"/>
      <c r="I43" s="19"/>
      <c r="J43" s="19"/>
      <c r="K43" s="19"/>
      <c r="L43" s="20">
        <f>SUM(C42:L42)/10</f>
        <v>9.6542838696639224E-2</v>
      </c>
      <c r="M43" s="9"/>
    </row>
    <row r="44" spans="1:13" ht="15" customHeight="1" x14ac:dyDescent="0.45">
      <c r="A44" s="23"/>
      <c r="B44" s="1"/>
      <c r="C44" s="1"/>
      <c r="D44" s="1"/>
      <c r="E44" s="1"/>
      <c r="F44" s="1"/>
      <c r="G44" s="1"/>
      <c r="H44" s="1"/>
      <c r="I44" s="1"/>
      <c r="J44" s="1"/>
      <c r="K44" s="1"/>
      <c r="L44" s="1"/>
      <c r="M44" s="23"/>
    </row>
  </sheetData>
  <mergeCells count="1">
    <mergeCell ref="E2:L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E2388-A81E-41D7-8F60-0FCEF0511BA4}">
  <dimension ref="A2:E5"/>
  <sheetViews>
    <sheetView workbookViewId="0">
      <selection activeCell="C6" sqref="C6"/>
    </sheetView>
  </sheetViews>
  <sheetFormatPr defaultRowHeight="14.25" x14ac:dyDescent="0.45"/>
  <sheetData>
    <row r="2" spans="1:5" x14ac:dyDescent="0.45">
      <c r="A2" s="116" t="s">
        <v>63</v>
      </c>
      <c r="B2" s="116" t="s">
        <v>64</v>
      </c>
      <c r="C2" s="116" t="s">
        <v>65</v>
      </c>
      <c r="D2" s="116" t="s">
        <v>66</v>
      </c>
    </row>
    <row r="3" spans="1:5" x14ac:dyDescent="0.45">
      <c r="A3">
        <v>20</v>
      </c>
      <c r="B3">
        <v>65</v>
      </c>
      <c r="C3">
        <v>15</v>
      </c>
      <c r="D3">
        <v>20</v>
      </c>
      <c r="E3">
        <f>SUM(B3:D3)</f>
        <v>100</v>
      </c>
    </row>
    <row r="4" spans="1:5" x14ac:dyDescent="0.45">
      <c r="A4">
        <v>30</v>
      </c>
      <c r="B4">
        <v>45</v>
      </c>
      <c r="C4">
        <v>35</v>
      </c>
      <c r="D4">
        <v>20</v>
      </c>
      <c r="E4">
        <f t="shared" ref="E4:E6" si="0">SUM(B4:D4)</f>
        <v>100</v>
      </c>
    </row>
    <row r="5" spans="1:5" x14ac:dyDescent="0.45">
      <c r="A5">
        <v>40</v>
      </c>
      <c r="B5">
        <v>35</v>
      </c>
      <c r="C5">
        <v>45</v>
      </c>
      <c r="D5">
        <v>20</v>
      </c>
      <c r="E5">
        <f t="shared" si="0"/>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Yield Estimate Calculator</vt:lpstr>
      <vt:lpstr>10 Year Burndown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Hutchinson</dc:creator>
  <cp:lastModifiedBy>Kyle Hutchinson</cp:lastModifiedBy>
  <dcterms:created xsi:type="dcterms:W3CDTF">2025-08-18T00:15:32Z</dcterms:created>
  <dcterms:modified xsi:type="dcterms:W3CDTF">2025-10-09T00:16:14Z</dcterms:modified>
</cp:coreProperties>
</file>