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eb409204932c1c/Lightning Bank Case Study/"/>
    </mc:Choice>
  </mc:AlternateContent>
  <xr:revisionPtr revIDLastSave="7868" documentId="13_ncr:1_{AE93A452-22DF-478B-8AAE-1A3A6016AB56}" xr6:coauthVersionLast="47" xr6:coauthVersionMax="47" xr10:uidLastSave="{AC324835-F93F-42B8-BF1C-CFEF7AD2B8FC}"/>
  <bookViews>
    <workbookView xWindow="-98" yWindow="-98" windowWidth="28996" windowHeight="15675" xr2:uid="{10396A79-A4B2-467C-A467-ECE59C587EB2}"/>
  </bookViews>
  <sheets>
    <sheet name="Yield Estimate Calculator" sheetId="18" r:id="rId1"/>
    <sheet name="10 Year Burndown Summary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6" i="18" l="1"/>
  <c r="N186" i="18"/>
  <c r="M186" i="18"/>
  <c r="L186" i="18"/>
  <c r="K186" i="18"/>
  <c r="J186" i="18"/>
  <c r="I186" i="18"/>
  <c r="H186" i="18"/>
  <c r="G186" i="18"/>
  <c r="F186" i="18"/>
  <c r="N184" i="18"/>
  <c r="M184" i="18"/>
  <c r="L184" i="18"/>
  <c r="K184" i="18"/>
  <c r="J184" i="18"/>
  <c r="I184" i="18"/>
  <c r="H184" i="18"/>
  <c r="G184" i="18"/>
  <c r="I185" i="18" s="1"/>
  <c r="F184" i="18"/>
  <c r="E184" i="18"/>
  <c r="N183" i="18"/>
  <c r="M183" i="18"/>
  <c r="L183" i="18"/>
  <c r="K183" i="18"/>
  <c r="J183" i="18"/>
  <c r="I183" i="18"/>
  <c r="H183" i="18"/>
  <c r="G183" i="18"/>
  <c r="F183" i="18"/>
  <c r="E183" i="18"/>
  <c r="N181" i="18"/>
  <c r="M181" i="18"/>
  <c r="L181" i="18"/>
  <c r="K181" i="18"/>
  <c r="J181" i="18"/>
  <c r="I181" i="18"/>
  <c r="H181" i="18"/>
  <c r="G181" i="18"/>
  <c r="N182" i="18" s="1"/>
  <c r="F181" i="18"/>
  <c r="E181" i="18"/>
  <c r="N180" i="18"/>
  <c r="M180" i="18"/>
  <c r="L180" i="18"/>
  <c r="K180" i="18"/>
  <c r="J180" i="18"/>
  <c r="I180" i="18"/>
  <c r="H180" i="18"/>
  <c r="G180" i="18"/>
  <c r="F180" i="18"/>
  <c r="E180" i="18"/>
  <c r="N178" i="18"/>
  <c r="M178" i="18"/>
  <c r="L178" i="18"/>
  <c r="K178" i="18"/>
  <c r="J178" i="18"/>
  <c r="I178" i="18"/>
  <c r="H178" i="18"/>
  <c r="G178" i="18"/>
  <c r="N179" i="18" s="1"/>
  <c r="F178" i="18"/>
  <c r="E178" i="18"/>
  <c r="F177" i="18"/>
  <c r="G177" i="18"/>
  <c r="H177" i="18"/>
  <c r="I177" i="18"/>
  <c r="J177" i="18"/>
  <c r="K177" i="18"/>
  <c r="L177" i="18"/>
  <c r="M177" i="18"/>
  <c r="N177" i="18"/>
  <c r="E177" i="18"/>
  <c r="F175" i="18"/>
  <c r="G175" i="18"/>
  <c r="H175" i="18"/>
  <c r="I175" i="18"/>
  <c r="J175" i="18"/>
  <c r="K175" i="18"/>
  <c r="L175" i="18"/>
  <c r="M175" i="18"/>
  <c r="N175" i="18"/>
  <c r="E175" i="18"/>
  <c r="N174" i="18"/>
  <c r="M174" i="18"/>
  <c r="L174" i="18"/>
  <c r="K174" i="18"/>
  <c r="J174" i="18"/>
  <c r="I174" i="18"/>
  <c r="H174" i="18"/>
  <c r="G174" i="18"/>
  <c r="F174" i="18"/>
  <c r="E174" i="18"/>
  <c r="N172" i="18"/>
  <c r="M172" i="18"/>
  <c r="L172" i="18"/>
  <c r="K172" i="18"/>
  <c r="J172" i="18"/>
  <c r="I172" i="18"/>
  <c r="H172" i="18"/>
  <c r="G172" i="18"/>
  <c r="N173" i="18" s="1"/>
  <c r="F172" i="18"/>
  <c r="E172" i="18"/>
  <c r="N171" i="18"/>
  <c r="M171" i="18"/>
  <c r="L171" i="18"/>
  <c r="K171" i="18"/>
  <c r="J171" i="18"/>
  <c r="I171" i="18"/>
  <c r="H171" i="18"/>
  <c r="G171" i="18"/>
  <c r="F171" i="18"/>
  <c r="E171" i="18"/>
  <c r="N169" i="18"/>
  <c r="M169" i="18"/>
  <c r="L169" i="18"/>
  <c r="K169" i="18"/>
  <c r="J169" i="18"/>
  <c r="I169" i="18"/>
  <c r="H169" i="18"/>
  <c r="G169" i="18"/>
  <c r="F169" i="18"/>
  <c r="E169" i="18"/>
  <c r="N170" i="18" s="1"/>
  <c r="E166" i="18"/>
  <c r="N168" i="18"/>
  <c r="M168" i="18"/>
  <c r="L168" i="18"/>
  <c r="K168" i="18"/>
  <c r="J168" i="18"/>
  <c r="I168" i="18"/>
  <c r="H168" i="18"/>
  <c r="G168" i="18"/>
  <c r="F168" i="18"/>
  <c r="E168" i="18"/>
  <c r="N166" i="18"/>
  <c r="M166" i="18"/>
  <c r="L166" i="18"/>
  <c r="K166" i="18"/>
  <c r="J166" i="18"/>
  <c r="I166" i="18"/>
  <c r="H166" i="18"/>
  <c r="G166" i="18"/>
  <c r="N167" i="18" s="1"/>
  <c r="F166" i="18"/>
  <c r="F165" i="18"/>
  <c r="G165" i="18"/>
  <c r="H165" i="18"/>
  <c r="I165" i="18"/>
  <c r="J165" i="18"/>
  <c r="K165" i="18"/>
  <c r="L165" i="18"/>
  <c r="M165" i="18"/>
  <c r="N165" i="18"/>
  <c r="F163" i="18"/>
  <c r="G163" i="18"/>
  <c r="H163" i="18"/>
  <c r="I163" i="18"/>
  <c r="J163" i="18"/>
  <c r="K163" i="18"/>
  <c r="L163" i="18"/>
  <c r="M163" i="18"/>
  <c r="N163" i="18"/>
  <c r="E165" i="18"/>
  <c r="E163" i="18"/>
  <c r="E162" i="18"/>
  <c r="E160" i="18"/>
  <c r="E159" i="18"/>
  <c r="E157" i="18"/>
  <c r="E156" i="18"/>
  <c r="E154" i="18"/>
  <c r="E153" i="18"/>
  <c r="E151" i="18"/>
  <c r="E125" i="18"/>
  <c r="E26" i="18"/>
  <c r="F26" i="18"/>
  <c r="G26" i="18"/>
  <c r="H26" i="18"/>
  <c r="I26" i="18"/>
  <c r="J26" i="18"/>
  <c r="K26" i="18"/>
  <c r="L26" i="18"/>
  <c r="M26" i="18"/>
  <c r="N26" i="18"/>
  <c r="N125" i="18"/>
  <c r="M125" i="18"/>
  <c r="L125" i="18"/>
  <c r="K125" i="18"/>
  <c r="J125" i="18"/>
  <c r="I125" i="18"/>
  <c r="H125" i="18"/>
  <c r="G125" i="18"/>
  <c r="F125" i="18"/>
  <c r="D92" i="18"/>
  <c r="D91" i="18"/>
  <c r="D47" i="18"/>
  <c r="D46" i="18"/>
  <c r="D30" i="18"/>
  <c r="D29" i="18"/>
  <c r="F37" i="18" s="1"/>
  <c r="E16" i="18"/>
  <c r="E18" i="18" s="1"/>
  <c r="K11" i="18"/>
  <c r="K10" i="18"/>
  <c r="E10" i="18"/>
  <c r="K9" i="18"/>
  <c r="K8" i="18"/>
  <c r="K7" i="18"/>
  <c r="K6" i="18"/>
  <c r="K5" i="18"/>
  <c r="K4" i="18"/>
  <c r="I8" i="13"/>
  <c r="D36" i="13"/>
  <c r="E36" i="13" s="1"/>
  <c r="D30" i="13"/>
  <c r="D32" i="13" s="1"/>
  <c r="D24" i="13"/>
  <c r="E24" i="13" s="1"/>
  <c r="F24" i="13" s="1"/>
  <c r="G24" i="13" s="1"/>
  <c r="H24" i="13" s="1"/>
  <c r="I24" i="13" s="1"/>
  <c r="J24" i="13" s="1"/>
  <c r="K24" i="13" s="1"/>
  <c r="L24" i="13" s="1"/>
  <c r="M24" i="13" s="1"/>
  <c r="M26" i="13" s="1"/>
  <c r="D18" i="13"/>
  <c r="D20" i="13" s="1"/>
  <c r="D12" i="13"/>
  <c r="D14" i="13" s="1"/>
  <c r="E30" i="13"/>
  <c r="F30" i="13" s="1"/>
  <c r="G30" i="13" s="1"/>
  <c r="H30" i="13" s="1"/>
  <c r="I30" i="13" s="1"/>
  <c r="J30" i="13" s="1"/>
  <c r="K30" i="13" s="1"/>
  <c r="L30" i="13" s="1"/>
  <c r="M30" i="13" s="1"/>
  <c r="M32" i="13" s="1"/>
  <c r="N185" i="18" l="1"/>
  <c r="I182" i="18"/>
  <c r="I179" i="18"/>
  <c r="I173" i="18"/>
  <c r="I170" i="18"/>
  <c r="I167" i="18"/>
  <c r="L106" i="18"/>
  <c r="H106" i="18"/>
  <c r="E120" i="18"/>
  <c r="E61" i="18"/>
  <c r="M61" i="18"/>
  <c r="I61" i="18"/>
  <c r="I6" i="18" s="1"/>
  <c r="E106" i="18"/>
  <c r="K106" i="18"/>
  <c r="G106" i="18"/>
  <c r="G108" i="18" s="1"/>
  <c r="N61" i="18"/>
  <c r="N63" i="18" s="1"/>
  <c r="J61" i="18"/>
  <c r="F61" i="18"/>
  <c r="H61" i="18"/>
  <c r="G61" i="18"/>
  <c r="L61" i="18"/>
  <c r="K61" i="18"/>
  <c r="N106" i="18"/>
  <c r="J106" i="18"/>
  <c r="F106" i="18"/>
  <c r="M106" i="18"/>
  <c r="I106" i="18"/>
  <c r="M37" i="18"/>
  <c r="N37" i="18"/>
  <c r="E37" i="18"/>
  <c r="E31" i="18" s="1"/>
  <c r="E33" i="18" s="1"/>
  <c r="E19" i="18"/>
  <c r="E20" i="18"/>
  <c r="E95" i="18"/>
  <c r="E27" i="18"/>
  <c r="E17" i="18"/>
  <c r="L37" i="18"/>
  <c r="H37" i="18"/>
  <c r="K37" i="18"/>
  <c r="G37" i="18"/>
  <c r="I37" i="18"/>
  <c r="F16" i="18"/>
  <c r="F31" i="18" s="1"/>
  <c r="F33" i="18" s="1"/>
  <c r="J37" i="18"/>
  <c r="J32" i="13"/>
  <c r="K32" i="13"/>
  <c r="I26" i="13"/>
  <c r="E18" i="13"/>
  <c r="F18" i="13" s="1"/>
  <c r="G18" i="13" s="1"/>
  <c r="J26" i="13"/>
  <c r="E26" i="13"/>
  <c r="I32" i="13"/>
  <c r="I33" i="13" s="1"/>
  <c r="F26" i="13"/>
  <c r="H32" i="13"/>
  <c r="H33" i="13" s="1"/>
  <c r="F36" i="13"/>
  <c r="E38" i="13"/>
  <c r="D38" i="13"/>
  <c r="G26" i="13"/>
  <c r="K26" i="13"/>
  <c r="E32" i="13"/>
  <c r="L32" i="13"/>
  <c r="G32" i="13"/>
  <c r="G33" i="13" s="1"/>
  <c r="D26" i="13"/>
  <c r="H26" i="13"/>
  <c r="L26" i="13"/>
  <c r="F32" i="13"/>
  <c r="D13" i="13"/>
  <c r="E12" i="13"/>
  <c r="E22" i="18" l="1"/>
  <c r="E24" i="18" s="1"/>
  <c r="E48" i="18" s="1"/>
  <c r="J108" i="18"/>
  <c r="N108" i="18"/>
  <c r="I10" i="18"/>
  <c r="I108" i="18"/>
  <c r="F108" i="18"/>
  <c r="F112" i="18" s="1"/>
  <c r="K108" i="18"/>
  <c r="I63" i="18"/>
  <c r="E122" i="18"/>
  <c r="L63" i="18"/>
  <c r="G63" i="18"/>
  <c r="M108" i="18"/>
  <c r="E65" i="18"/>
  <c r="E63" i="18"/>
  <c r="E67" i="18" s="1"/>
  <c r="H63" i="18"/>
  <c r="F65" i="18"/>
  <c r="F63" i="18"/>
  <c r="F67" i="18" s="1"/>
  <c r="J63" i="18"/>
  <c r="F27" i="18"/>
  <c r="E107" i="18"/>
  <c r="E62" i="18"/>
  <c r="L108" i="18"/>
  <c r="K63" i="18"/>
  <c r="E123" i="18"/>
  <c r="E126" i="18" s="1"/>
  <c r="E127" i="18" s="1"/>
  <c r="E110" i="18"/>
  <c r="E108" i="18"/>
  <c r="E112" i="18" s="1"/>
  <c r="H108" i="18"/>
  <c r="F17" i="18"/>
  <c r="G16" i="18"/>
  <c r="G112" i="18" s="1"/>
  <c r="F120" i="18"/>
  <c r="F18" i="18"/>
  <c r="F110" i="18"/>
  <c r="M63" i="18"/>
  <c r="E97" i="18"/>
  <c r="E101" i="18"/>
  <c r="E20" i="13"/>
  <c r="F20" i="13"/>
  <c r="H18" i="13"/>
  <c r="G20" i="13"/>
  <c r="G36" i="13"/>
  <c r="F38" i="13"/>
  <c r="F39" i="13" s="1"/>
  <c r="F12" i="13"/>
  <c r="E14" i="13"/>
  <c r="G31" i="18" l="1"/>
  <c r="E93" i="18"/>
  <c r="E133" i="18" s="1"/>
  <c r="G67" i="18"/>
  <c r="E124" i="18"/>
  <c r="E132" i="18" s="1"/>
  <c r="E130" i="18" s="1"/>
  <c r="E128" i="18"/>
  <c r="N164" i="18"/>
  <c r="I164" i="18"/>
  <c r="E64" i="18"/>
  <c r="E74" i="18" s="1"/>
  <c r="E72" i="18" s="1"/>
  <c r="E70" i="18"/>
  <c r="F95" i="18"/>
  <c r="F19" i="18"/>
  <c r="F20" i="18"/>
  <c r="F22" i="18" s="1"/>
  <c r="F24" i="18" s="1"/>
  <c r="F48" i="18" s="1"/>
  <c r="E114" i="18"/>
  <c r="F114" i="18" s="1"/>
  <c r="G114" i="18" s="1"/>
  <c r="E115" i="18"/>
  <c r="E109" i="18"/>
  <c r="E119" i="18" s="1"/>
  <c r="E117" i="18" s="1"/>
  <c r="E105" i="18"/>
  <c r="E103" i="18" s="1"/>
  <c r="F35" i="18"/>
  <c r="F38" i="18" s="1"/>
  <c r="F123" i="18"/>
  <c r="F126" i="18" s="1"/>
  <c r="F127" i="18" s="1"/>
  <c r="F107" i="18"/>
  <c r="F62" i="18"/>
  <c r="G27" i="18"/>
  <c r="E69" i="18"/>
  <c r="F69" i="18" s="1"/>
  <c r="E135" i="18"/>
  <c r="E137" i="18" s="1"/>
  <c r="E147" i="18" s="1"/>
  <c r="E145" i="18" s="1"/>
  <c r="H16" i="18"/>
  <c r="H31" i="18" s="1"/>
  <c r="H33" i="18" s="1"/>
  <c r="G18" i="18"/>
  <c r="G120" i="18"/>
  <c r="G17" i="18"/>
  <c r="G110" i="18"/>
  <c r="E96" i="18"/>
  <c r="G65" i="18"/>
  <c r="I18" i="13"/>
  <c r="H20" i="13"/>
  <c r="H36" i="13"/>
  <c r="G38" i="13"/>
  <c r="G39" i="13" s="1"/>
  <c r="G12" i="13"/>
  <c r="F14" i="13"/>
  <c r="G35" i="18" l="1"/>
  <c r="G38" i="18" s="1"/>
  <c r="G33" i="18"/>
  <c r="E98" i="18"/>
  <c r="E138" i="18" s="1"/>
  <c r="F93" i="18"/>
  <c r="G69" i="18"/>
  <c r="F34" i="18"/>
  <c r="F122" i="18"/>
  <c r="E195" i="18"/>
  <c r="E99" i="18"/>
  <c r="E100" i="18" s="1"/>
  <c r="E187" i="18"/>
  <c r="H18" i="18"/>
  <c r="H17" i="18"/>
  <c r="I16" i="18"/>
  <c r="I31" i="18" s="1"/>
  <c r="I33" i="18" s="1"/>
  <c r="H120" i="18"/>
  <c r="H65" i="18"/>
  <c r="H110" i="18"/>
  <c r="H67" i="18"/>
  <c r="H112" i="18"/>
  <c r="H114" i="18" s="1"/>
  <c r="G107" i="18"/>
  <c r="H27" i="18"/>
  <c r="G62" i="18"/>
  <c r="E143" i="18"/>
  <c r="E136" i="18"/>
  <c r="E140" i="18" s="1"/>
  <c r="G123" i="18"/>
  <c r="G126" i="18" s="1"/>
  <c r="G127" i="18" s="1"/>
  <c r="F64" i="18"/>
  <c r="F74" i="18" s="1"/>
  <c r="F72" i="18" s="1"/>
  <c r="F70" i="18"/>
  <c r="E192" i="18"/>
  <c r="F135" i="18"/>
  <c r="F137" i="18" s="1"/>
  <c r="F147" i="18" s="1"/>
  <c r="F145" i="18" s="1"/>
  <c r="F101" i="18"/>
  <c r="F97" i="18"/>
  <c r="G20" i="18"/>
  <c r="G22" i="18" s="1"/>
  <c r="G24" i="18" s="1"/>
  <c r="G48" i="18" s="1"/>
  <c r="G95" i="18"/>
  <c r="G19" i="18"/>
  <c r="F115" i="18"/>
  <c r="F109" i="18"/>
  <c r="F119" i="18" s="1"/>
  <c r="F117" i="18" s="1"/>
  <c r="E189" i="18"/>
  <c r="E198" i="18"/>
  <c r="J18" i="13"/>
  <c r="I20" i="13"/>
  <c r="I36" i="13"/>
  <c r="H38" i="13"/>
  <c r="H39" i="13" s="1"/>
  <c r="H12" i="13"/>
  <c r="G14" i="13"/>
  <c r="D31" i="13"/>
  <c r="E37" i="13"/>
  <c r="D37" i="13"/>
  <c r="E25" i="13"/>
  <c r="D25" i="13"/>
  <c r="E19" i="13"/>
  <c r="D19" i="13"/>
  <c r="D16" i="13"/>
  <c r="G93" i="18" l="1"/>
  <c r="H69" i="18"/>
  <c r="F36" i="18"/>
  <c r="F44" i="18" s="1"/>
  <c r="F124" i="18"/>
  <c r="F132" i="18" s="1"/>
  <c r="F130" i="18" s="1"/>
  <c r="F128" i="18"/>
  <c r="F143" i="18" s="1"/>
  <c r="G101" i="18"/>
  <c r="G97" i="18"/>
  <c r="G135" i="18"/>
  <c r="G137" i="18" s="1"/>
  <c r="G147" i="18" s="1"/>
  <c r="G145" i="18" s="1"/>
  <c r="F75" i="18"/>
  <c r="F53" i="18"/>
  <c r="F80" i="18" s="1"/>
  <c r="F51" i="18"/>
  <c r="F54" i="18" s="1"/>
  <c r="F50" i="18"/>
  <c r="H123" i="18"/>
  <c r="H126" i="18" s="1"/>
  <c r="H127" i="18" s="1"/>
  <c r="E196" i="18"/>
  <c r="F133" i="18"/>
  <c r="F98" i="18"/>
  <c r="F138" i="18" s="1"/>
  <c r="F96" i="18"/>
  <c r="E142" i="18"/>
  <c r="G70" i="18"/>
  <c r="G64" i="18"/>
  <c r="G74" i="18" s="1"/>
  <c r="G72" i="18" s="1"/>
  <c r="I120" i="18"/>
  <c r="I17" i="18"/>
  <c r="I18" i="18"/>
  <c r="J16" i="18"/>
  <c r="J31" i="18" s="1"/>
  <c r="J33" i="18" s="1"/>
  <c r="I65" i="18"/>
  <c r="I66" i="18" s="1"/>
  <c r="I110" i="18"/>
  <c r="I111" i="18" s="1"/>
  <c r="I112" i="18"/>
  <c r="I113" i="18" s="1"/>
  <c r="I35" i="18"/>
  <c r="I38" i="18" s="1"/>
  <c r="I67" i="18"/>
  <c r="G122" i="18"/>
  <c r="I114" i="18"/>
  <c r="I27" i="18"/>
  <c r="H107" i="18"/>
  <c r="H62" i="18"/>
  <c r="H35" i="18"/>
  <c r="H38" i="18" s="1"/>
  <c r="E193" i="18"/>
  <c r="G34" i="18"/>
  <c r="F162" i="18"/>
  <c r="F156" i="18"/>
  <c r="F159" i="18"/>
  <c r="F195" i="18" s="1"/>
  <c r="F153" i="18"/>
  <c r="F105" i="18"/>
  <c r="F103" i="18" s="1"/>
  <c r="G115" i="18"/>
  <c r="G109" i="18"/>
  <c r="G119" i="18" s="1"/>
  <c r="G117" i="18" s="1"/>
  <c r="H20" i="18"/>
  <c r="H22" i="18" s="1"/>
  <c r="H24" i="18" s="1"/>
  <c r="H48" i="18" s="1"/>
  <c r="H95" i="18"/>
  <c r="H19" i="18"/>
  <c r="E190" i="18"/>
  <c r="K18" i="13"/>
  <c r="J20" i="13"/>
  <c r="J36" i="13"/>
  <c r="I38" i="13"/>
  <c r="I39" i="13" s="1"/>
  <c r="I12" i="13"/>
  <c r="H14" i="13"/>
  <c r="D15" i="13"/>
  <c r="E39" i="13"/>
  <c r="E40" i="13"/>
  <c r="F37" i="13"/>
  <c r="D40" i="13"/>
  <c r="D39" i="13"/>
  <c r="E31" i="13"/>
  <c r="D33" i="13"/>
  <c r="D34" i="13"/>
  <c r="D28" i="13"/>
  <c r="D27" i="13"/>
  <c r="E27" i="13"/>
  <c r="E28" i="13"/>
  <c r="F25" i="13"/>
  <c r="D22" i="13"/>
  <c r="D21" i="13"/>
  <c r="F19" i="13"/>
  <c r="E21" i="13"/>
  <c r="E22" i="13"/>
  <c r="E13" i="13"/>
  <c r="F198" i="18" l="1"/>
  <c r="H93" i="18"/>
  <c r="I69" i="18"/>
  <c r="F189" i="18"/>
  <c r="F192" i="18"/>
  <c r="H122" i="18"/>
  <c r="H34" i="18"/>
  <c r="H70" i="18"/>
  <c r="H64" i="18"/>
  <c r="H74" i="18" s="1"/>
  <c r="H72" i="18" s="1"/>
  <c r="I123" i="18"/>
  <c r="I126" i="18" s="1"/>
  <c r="I127" i="18" s="1"/>
  <c r="I176" i="18"/>
  <c r="F160" i="18"/>
  <c r="F154" i="18"/>
  <c r="F157" i="18"/>
  <c r="F99" i="18"/>
  <c r="F100" i="18" s="1"/>
  <c r="F151" i="18"/>
  <c r="G53" i="18"/>
  <c r="G80" i="18" s="1"/>
  <c r="G51" i="18"/>
  <c r="G54" i="18" s="1"/>
  <c r="G75" i="18"/>
  <c r="G78" i="18" s="1"/>
  <c r="G82" i="18" s="1"/>
  <c r="G50" i="18"/>
  <c r="H36" i="18"/>
  <c r="H44" i="18" s="1"/>
  <c r="I121" i="18"/>
  <c r="H109" i="18"/>
  <c r="H119" i="18" s="1"/>
  <c r="H117" i="18" s="1"/>
  <c r="H115" i="18"/>
  <c r="J120" i="18"/>
  <c r="J17" i="18"/>
  <c r="K16" i="18"/>
  <c r="K31" i="18" s="1"/>
  <c r="K33" i="18" s="1"/>
  <c r="J18" i="18"/>
  <c r="J110" i="18"/>
  <c r="J112" i="18"/>
  <c r="J114" i="18" s="1"/>
  <c r="J65" i="18"/>
  <c r="J67" i="18"/>
  <c r="I68" i="18"/>
  <c r="F77" i="18"/>
  <c r="F79" i="18" s="1"/>
  <c r="F89" i="18" s="1"/>
  <c r="F52" i="18"/>
  <c r="F60" i="18" s="1"/>
  <c r="F78" i="18"/>
  <c r="F82" i="18" s="1"/>
  <c r="H101" i="18"/>
  <c r="H135" i="18"/>
  <c r="H137" i="18" s="1"/>
  <c r="H147" i="18" s="1"/>
  <c r="H145" i="18" s="1"/>
  <c r="H97" i="18"/>
  <c r="G36" i="18"/>
  <c r="G44" i="18" s="1"/>
  <c r="G42" i="18" s="1"/>
  <c r="J27" i="18"/>
  <c r="I62" i="18"/>
  <c r="I107" i="18"/>
  <c r="G128" i="18"/>
  <c r="G143" i="18" s="1"/>
  <c r="G124" i="18"/>
  <c r="G132" i="18" s="1"/>
  <c r="G130" i="18" s="1"/>
  <c r="I95" i="18"/>
  <c r="I19" i="18"/>
  <c r="I20" i="18"/>
  <c r="I22" i="18" s="1"/>
  <c r="F136" i="18"/>
  <c r="F140" i="18" s="1"/>
  <c r="G159" i="18"/>
  <c r="G153" i="18"/>
  <c r="G162" i="18"/>
  <c r="G156" i="18"/>
  <c r="G105" i="18"/>
  <c r="G103" i="18" s="1"/>
  <c r="G133" i="18"/>
  <c r="G136" i="18" s="1"/>
  <c r="G140" i="18" s="1"/>
  <c r="G96" i="18"/>
  <c r="G98" i="18"/>
  <c r="G138" i="18" s="1"/>
  <c r="L18" i="13"/>
  <c r="K20" i="13"/>
  <c r="K36" i="13"/>
  <c r="J38" i="13"/>
  <c r="J12" i="13"/>
  <c r="I14" i="13"/>
  <c r="F40" i="13"/>
  <c r="G37" i="13"/>
  <c r="E33" i="13"/>
  <c r="E34" i="13"/>
  <c r="F31" i="13"/>
  <c r="F28" i="13"/>
  <c r="F27" i="13"/>
  <c r="G25" i="13"/>
  <c r="F21" i="13"/>
  <c r="F22" i="13"/>
  <c r="G19" i="13"/>
  <c r="E15" i="13"/>
  <c r="E16" i="13"/>
  <c r="F13" i="13"/>
  <c r="I23" i="18" l="1"/>
  <c r="I24" i="18"/>
  <c r="I48" i="18" s="1"/>
  <c r="H42" i="18"/>
  <c r="G192" i="18"/>
  <c r="H128" i="18"/>
  <c r="H143" i="18" s="1"/>
  <c r="H124" i="18"/>
  <c r="H132" i="18" s="1"/>
  <c r="H130" i="18" s="1"/>
  <c r="G195" i="18"/>
  <c r="G198" i="18"/>
  <c r="G189" i="18"/>
  <c r="G157" i="18"/>
  <c r="G193" i="18" s="1"/>
  <c r="G154" i="18"/>
  <c r="G190" i="18" s="1"/>
  <c r="G99" i="18"/>
  <c r="G100" i="18" s="1"/>
  <c r="G151" i="18"/>
  <c r="G187" i="18" s="1"/>
  <c r="G160" i="18"/>
  <c r="G196" i="18" s="1"/>
  <c r="H98" i="18"/>
  <c r="H138" i="18" s="1"/>
  <c r="H96" i="18"/>
  <c r="H133" i="18"/>
  <c r="I21" i="18"/>
  <c r="I135" i="18"/>
  <c r="I137" i="18" s="1"/>
  <c r="I147" i="18" s="1"/>
  <c r="I145" i="18" s="1"/>
  <c r="I146" i="18" s="1"/>
  <c r="I97" i="18"/>
  <c r="I101" i="18"/>
  <c r="I102" i="18" s="1"/>
  <c r="J123" i="18"/>
  <c r="J126" i="18" s="1"/>
  <c r="J127" i="18" s="1"/>
  <c r="G77" i="18"/>
  <c r="G79" i="18" s="1"/>
  <c r="G89" i="18" s="1"/>
  <c r="G87" i="18" s="1"/>
  <c r="G52" i="18"/>
  <c r="G60" i="18" s="1"/>
  <c r="G58" i="18" s="1"/>
  <c r="F187" i="18"/>
  <c r="F196" i="18"/>
  <c r="J69" i="18"/>
  <c r="H53" i="18"/>
  <c r="H80" i="18" s="1"/>
  <c r="H51" i="18"/>
  <c r="H54" i="18" s="1"/>
  <c r="H75" i="18"/>
  <c r="H78" i="18" s="1"/>
  <c r="H82" i="18" s="1"/>
  <c r="H50" i="18"/>
  <c r="I122" i="18"/>
  <c r="I115" i="18"/>
  <c r="I116" i="18" s="1"/>
  <c r="I109" i="18"/>
  <c r="I119" i="18" s="1"/>
  <c r="I117" i="18" s="1"/>
  <c r="I118" i="18" s="1"/>
  <c r="H159" i="18"/>
  <c r="H153" i="18"/>
  <c r="H162" i="18"/>
  <c r="H156" i="18"/>
  <c r="H192" i="18" s="1"/>
  <c r="H105" i="18"/>
  <c r="H103" i="18" s="1"/>
  <c r="J35" i="18"/>
  <c r="J38" i="18" s="1"/>
  <c r="J95" i="18"/>
  <c r="J19" i="18"/>
  <c r="J20" i="18"/>
  <c r="I11" i="18"/>
  <c r="I7" i="18"/>
  <c r="F142" i="18"/>
  <c r="G142" i="18" s="1"/>
  <c r="I34" i="18"/>
  <c r="I64" i="18"/>
  <c r="I74" i="18" s="1"/>
  <c r="I72" i="18" s="1"/>
  <c r="I73" i="18" s="1"/>
  <c r="I70" i="18"/>
  <c r="L16" i="18"/>
  <c r="L31" i="18" s="1"/>
  <c r="L33" i="18" s="1"/>
  <c r="K18" i="18"/>
  <c r="K120" i="18"/>
  <c r="K17" i="18"/>
  <c r="K110" i="18"/>
  <c r="K112" i="18"/>
  <c r="K114" i="18" s="1"/>
  <c r="K35" i="18"/>
  <c r="K38" i="18" s="1"/>
  <c r="K65" i="18"/>
  <c r="K67" i="18"/>
  <c r="F193" i="18"/>
  <c r="J107" i="18"/>
  <c r="J62" i="18"/>
  <c r="K27" i="18"/>
  <c r="F190" i="18"/>
  <c r="M18" i="13"/>
  <c r="M20" i="13" s="1"/>
  <c r="L20" i="13"/>
  <c r="L36" i="13"/>
  <c r="K38" i="13"/>
  <c r="K12" i="13"/>
  <c r="J14" i="13"/>
  <c r="G40" i="13"/>
  <c r="H37" i="13"/>
  <c r="F34" i="13"/>
  <c r="F33" i="13"/>
  <c r="G31" i="13"/>
  <c r="G28" i="13"/>
  <c r="G27" i="13"/>
  <c r="H25" i="13"/>
  <c r="G22" i="13"/>
  <c r="G21" i="13"/>
  <c r="H19" i="13"/>
  <c r="G13" i="13"/>
  <c r="F16" i="13"/>
  <c r="F15" i="13"/>
  <c r="I93" i="18" l="1"/>
  <c r="I98" i="18" s="1"/>
  <c r="I138" i="18" s="1"/>
  <c r="I139" i="18" s="1"/>
  <c r="I25" i="18"/>
  <c r="J34" i="18"/>
  <c r="J36" i="18" s="1"/>
  <c r="J44" i="18" s="1"/>
  <c r="J22" i="18"/>
  <c r="J24" i="18" s="1"/>
  <c r="J48" i="18" s="1"/>
  <c r="H198" i="18"/>
  <c r="H189" i="18"/>
  <c r="H195" i="18"/>
  <c r="J64" i="18"/>
  <c r="J74" i="18" s="1"/>
  <c r="J72" i="18" s="1"/>
  <c r="J70" i="18"/>
  <c r="K123" i="18"/>
  <c r="K126" i="18" s="1"/>
  <c r="K127" i="18" s="1"/>
  <c r="I36" i="18"/>
  <c r="I44" i="18" s="1"/>
  <c r="I42" i="18" s="1"/>
  <c r="H157" i="18"/>
  <c r="H160" i="18"/>
  <c r="H154" i="18"/>
  <c r="H151" i="18"/>
  <c r="H187" i="18" s="1"/>
  <c r="H99" i="18"/>
  <c r="H100" i="18" s="1"/>
  <c r="J115" i="18"/>
  <c r="J109" i="18"/>
  <c r="J119" i="18" s="1"/>
  <c r="J117" i="18" s="1"/>
  <c r="K20" i="18"/>
  <c r="K22" i="18" s="1"/>
  <c r="K24" i="18" s="1"/>
  <c r="K48" i="18" s="1"/>
  <c r="K95" i="18"/>
  <c r="K19" i="18"/>
  <c r="H77" i="18"/>
  <c r="H79" i="18" s="1"/>
  <c r="H89" i="18" s="1"/>
  <c r="H87" i="18" s="1"/>
  <c r="H52" i="18"/>
  <c r="H60" i="18" s="1"/>
  <c r="H58" i="18" s="1"/>
  <c r="L18" i="18"/>
  <c r="L17" i="18"/>
  <c r="M16" i="18"/>
  <c r="M31" i="18" s="1"/>
  <c r="M33" i="18" s="1"/>
  <c r="L120" i="18"/>
  <c r="L65" i="18"/>
  <c r="L110" i="18"/>
  <c r="L35" i="18"/>
  <c r="L38" i="18" s="1"/>
  <c r="L67" i="18"/>
  <c r="L112" i="18"/>
  <c r="L114" i="18" s="1"/>
  <c r="J122" i="18"/>
  <c r="J135" i="18"/>
  <c r="J137" i="18" s="1"/>
  <c r="J147" i="18" s="1"/>
  <c r="J145" i="18" s="1"/>
  <c r="J101" i="18"/>
  <c r="J97" i="18"/>
  <c r="I128" i="18"/>
  <c r="I143" i="18" s="1"/>
  <c r="I144" i="18" s="1"/>
  <c r="I124" i="18"/>
  <c r="I132" i="18" s="1"/>
  <c r="I130" i="18" s="1"/>
  <c r="K69" i="18"/>
  <c r="L69" i="18" s="1"/>
  <c r="I71" i="18"/>
  <c r="K107" i="18"/>
  <c r="K62" i="18"/>
  <c r="L27" i="18"/>
  <c r="I162" i="18"/>
  <c r="I156" i="18"/>
  <c r="I159" i="18"/>
  <c r="I153" i="18"/>
  <c r="I105" i="18"/>
  <c r="I103" i="18" s="1"/>
  <c r="I104" i="18" s="1"/>
  <c r="I75" i="18"/>
  <c r="I51" i="18"/>
  <c r="I54" i="18" s="1"/>
  <c r="I53" i="18"/>
  <c r="I80" i="18" s="1"/>
  <c r="I50" i="18"/>
  <c r="H136" i="18"/>
  <c r="H140" i="18" s="1"/>
  <c r="M36" i="13"/>
  <c r="M38" i="13" s="1"/>
  <c r="L38" i="13"/>
  <c r="L12" i="13"/>
  <c r="K14" i="13"/>
  <c r="H40" i="13"/>
  <c r="H41" i="13" s="1"/>
  <c r="I37" i="13"/>
  <c r="G34" i="13"/>
  <c r="H31" i="13"/>
  <c r="H28" i="13"/>
  <c r="H29" i="13" s="1"/>
  <c r="H27" i="13"/>
  <c r="I25" i="13"/>
  <c r="H22" i="13"/>
  <c r="H23" i="13" s="1"/>
  <c r="H21" i="13"/>
  <c r="I19" i="13"/>
  <c r="G16" i="13"/>
  <c r="G15" i="13"/>
  <c r="H13" i="13"/>
  <c r="I133" i="18" l="1"/>
  <c r="I134" i="18" s="1"/>
  <c r="I12" i="18" s="1"/>
  <c r="I96" i="18"/>
  <c r="I157" i="18" s="1"/>
  <c r="I193" i="18" s="1"/>
  <c r="I94" i="18"/>
  <c r="I9" i="18" s="1"/>
  <c r="K93" i="18"/>
  <c r="J53" i="18"/>
  <c r="J80" i="18" s="1"/>
  <c r="J93" i="18"/>
  <c r="J133" i="18" s="1"/>
  <c r="J136" i="18" s="1"/>
  <c r="J140" i="18" s="1"/>
  <c r="I198" i="18"/>
  <c r="M11" i="18" s="1"/>
  <c r="N11" i="18" s="1"/>
  <c r="I189" i="18"/>
  <c r="M5" i="18" s="1"/>
  <c r="N5" i="18" s="1"/>
  <c r="K34" i="18"/>
  <c r="K36" i="18" s="1"/>
  <c r="K44" i="18" s="1"/>
  <c r="K42" i="18" s="1"/>
  <c r="J42" i="18"/>
  <c r="I77" i="18"/>
  <c r="I79" i="18" s="1"/>
  <c r="I89" i="18" s="1"/>
  <c r="I87" i="18" s="1"/>
  <c r="I52" i="18"/>
  <c r="I60" i="18" s="1"/>
  <c r="I58" i="18" s="1"/>
  <c r="K115" i="18"/>
  <c r="K109" i="18"/>
  <c r="K119" i="18" s="1"/>
  <c r="K117" i="18" s="1"/>
  <c r="L20" i="18"/>
  <c r="L19" i="18"/>
  <c r="L95" i="18"/>
  <c r="H193" i="18"/>
  <c r="I131" i="18"/>
  <c r="L123" i="18"/>
  <c r="L126" i="18" s="1"/>
  <c r="L127" i="18" s="1"/>
  <c r="J75" i="18"/>
  <c r="J78" i="18" s="1"/>
  <c r="J82" i="18" s="1"/>
  <c r="J51" i="18"/>
  <c r="J54" i="18" s="1"/>
  <c r="K135" i="18"/>
  <c r="K137" i="18" s="1"/>
  <c r="K147" i="18" s="1"/>
  <c r="K145" i="18" s="1"/>
  <c r="K97" i="18"/>
  <c r="K101" i="18"/>
  <c r="I195" i="18"/>
  <c r="M9" i="18" s="1"/>
  <c r="N9" i="18" s="1"/>
  <c r="L107" i="18"/>
  <c r="M27" i="18"/>
  <c r="L62" i="18"/>
  <c r="I129" i="18"/>
  <c r="J124" i="18"/>
  <c r="J132" i="18" s="1"/>
  <c r="J130" i="18" s="1"/>
  <c r="J128" i="18"/>
  <c r="J143" i="18" s="1"/>
  <c r="M17" i="18"/>
  <c r="N16" i="18"/>
  <c r="N31" i="18" s="1"/>
  <c r="N33" i="18" s="1"/>
  <c r="M120" i="18"/>
  <c r="M18" i="18"/>
  <c r="M35" i="18"/>
  <c r="M38" i="18" s="1"/>
  <c r="M110" i="18"/>
  <c r="M65" i="18"/>
  <c r="M67" i="18"/>
  <c r="M69" i="18" s="1"/>
  <c r="M112" i="18"/>
  <c r="M114" i="18" s="1"/>
  <c r="J98" i="18"/>
  <c r="J138" i="18" s="1"/>
  <c r="H190" i="18"/>
  <c r="I78" i="18"/>
  <c r="I82" i="18" s="1"/>
  <c r="I192" i="18"/>
  <c r="M7" i="18" s="1"/>
  <c r="N7" i="18" s="1"/>
  <c r="K70" i="18"/>
  <c r="K64" i="18"/>
  <c r="K74" i="18" s="1"/>
  <c r="K72" i="18" s="1"/>
  <c r="J162" i="18"/>
  <c r="J156" i="18"/>
  <c r="J159" i="18"/>
  <c r="J153" i="18"/>
  <c r="J105" i="18"/>
  <c r="J103" i="18" s="1"/>
  <c r="H142" i="18"/>
  <c r="K122" i="18"/>
  <c r="H196" i="18"/>
  <c r="I154" i="18"/>
  <c r="M12" i="13"/>
  <c r="M14" i="13" s="1"/>
  <c r="L14" i="13"/>
  <c r="J37" i="13"/>
  <c r="I40" i="13"/>
  <c r="I31" i="13"/>
  <c r="H34" i="13"/>
  <c r="I27" i="13"/>
  <c r="I28" i="13"/>
  <c r="J25" i="13"/>
  <c r="J19" i="13"/>
  <c r="I21" i="13"/>
  <c r="I22" i="13"/>
  <c r="H15" i="13"/>
  <c r="H16" i="13"/>
  <c r="H17" i="13" s="1"/>
  <c r="I13" i="13"/>
  <c r="I151" i="18" l="1"/>
  <c r="I152" i="18" s="1"/>
  <c r="I99" i="18"/>
  <c r="I100" i="18" s="1"/>
  <c r="I160" i="18"/>
  <c r="I196" i="18" s="1"/>
  <c r="I136" i="18"/>
  <c r="I140" i="18" s="1"/>
  <c r="I141" i="18" s="1"/>
  <c r="J96" i="18"/>
  <c r="J160" i="18" s="1"/>
  <c r="J196" i="18" s="1"/>
  <c r="J50" i="18"/>
  <c r="J77" i="18" s="1"/>
  <c r="J79" i="18" s="1"/>
  <c r="J89" i="18" s="1"/>
  <c r="J87" i="18" s="1"/>
  <c r="L34" i="18"/>
  <c r="L36" i="18" s="1"/>
  <c r="L44" i="18" s="1"/>
  <c r="L42" i="18" s="1"/>
  <c r="L22" i="18"/>
  <c r="L24" i="18" s="1"/>
  <c r="L48" i="18" s="1"/>
  <c r="L122" i="18"/>
  <c r="J192" i="18"/>
  <c r="I190" i="18"/>
  <c r="I191" i="18" s="1"/>
  <c r="M6" i="18" s="1"/>
  <c r="N6" i="18" s="1"/>
  <c r="I197" i="18"/>
  <c r="M10" i="18" s="1"/>
  <c r="N10" i="18" s="1"/>
  <c r="I155" i="18"/>
  <c r="M123" i="18"/>
  <c r="M126" i="18" s="1"/>
  <c r="M127" i="18" s="1"/>
  <c r="N27" i="18"/>
  <c r="M62" i="18"/>
  <c r="M107" i="18"/>
  <c r="K159" i="18"/>
  <c r="K153" i="18"/>
  <c r="K156" i="18"/>
  <c r="K162" i="18"/>
  <c r="K105" i="18"/>
  <c r="K103" i="18" s="1"/>
  <c r="I194" i="18"/>
  <c r="M8" i="18" s="1"/>
  <c r="N8" i="18" s="1"/>
  <c r="K128" i="18"/>
  <c r="K143" i="18" s="1"/>
  <c r="K124" i="18"/>
  <c r="K132" i="18" s="1"/>
  <c r="K130" i="18" s="1"/>
  <c r="J198" i="18"/>
  <c r="N17" i="18"/>
  <c r="N120" i="18"/>
  <c r="N18" i="18"/>
  <c r="N65" i="18"/>
  <c r="N66" i="18" s="1"/>
  <c r="N110" i="18"/>
  <c r="N111" i="18" s="1"/>
  <c r="N67" i="18"/>
  <c r="N68" i="18" s="1"/>
  <c r="N112" i="18"/>
  <c r="N113" i="18" s="1"/>
  <c r="L115" i="18"/>
  <c r="L109" i="18"/>
  <c r="L119" i="18" s="1"/>
  <c r="L117" i="18" s="1"/>
  <c r="J189" i="18"/>
  <c r="K75" i="18"/>
  <c r="K78" i="18" s="1"/>
  <c r="K82" i="18" s="1"/>
  <c r="K53" i="18"/>
  <c r="K80" i="18" s="1"/>
  <c r="K51" i="18"/>
  <c r="K54" i="18" s="1"/>
  <c r="K50" i="18"/>
  <c r="J52" i="18"/>
  <c r="J60" i="18" s="1"/>
  <c r="J58" i="18" s="1"/>
  <c r="I187" i="18"/>
  <c r="I188" i="18" s="1"/>
  <c r="I161" i="18"/>
  <c r="J195" i="18"/>
  <c r="K98" i="18"/>
  <c r="K138" i="18" s="1"/>
  <c r="K133" i="18"/>
  <c r="K136" i="18" s="1"/>
  <c r="K140" i="18" s="1"/>
  <c r="K96" i="18"/>
  <c r="J99" i="18"/>
  <c r="M95" i="18"/>
  <c r="M19" i="18"/>
  <c r="M20" i="18"/>
  <c r="M22" i="18" s="1"/>
  <c r="M24" i="18" s="1"/>
  <c r="M48" i="18" s="1"/>
  <c r="L70" i="18"/>
  <c r="L64" i="18"/>
  <c r="L74" i="18" s="1"/>
  <c r="L72" i="18" s="1"/>
  <c r="I158" i="18"/>
  <c r="L101" i="18"/>
  <c r="L97" i="18"/>
  <c r="L135" i="18"/>
  <c r="L137" i="18" s="1"/>
  <c r="L147" i="18" s="1"/>
  <c r="L145" i="18" s="1"/>
  <c r="J39" i="13"/>
  <c r="J40" i="13"/>
  <c r="K37" i="13"/>
  <c r="I34" i="13"/>
  <c r="J31" i="13"/>
  <c r="H35" i="13"/>
  <c r="K25" i="13"/>
  <c r="J27" i="13"/>
  <c r="J28" i="13"/>
  <c r="J22" i="13"/>
  <c r="J21" i="13"/>
  <c r="K19" i="13"/>
  <c r="J13" i="13"/>
  <c r="I15" i="13"/>
  <c r="I16" i="13"/>
  <c r="J100" i="18" l="1"/>
  <c r="J157" i="18"/>
  <c r="J193" i="18" s="1"/>
  <c r="J154" i="18"/>
  <c r="J190" i="18" s="1"/>
  <c r="J151" i="18"/>
  <c r="J187" i="18" s="1"/>
  <c r="I142" i="18"/>
  <c r="J142" i="18" s="1"/>
  <c r="K142" i="18" s="1"/>
  <c r="L93" i="18"/>
  <c r="L133" i="18" s="1"/>
  <c r="L136" i="18" s="1"/>
  <c r="L140" i="18" s="1"/>
  <c r="L75" i="18"/>
  <c r="L78" i="18" s="1"/>
  <c r="L82" i="18" s="1"/>
  <c r="M93" i="18"/>
  <c r="N114" i="18"/>
  <c r="L124" i="18"/>
  <c r="L132" i="18" s="1"/>
  <c r="L128" i="18"/>
  <c r="L143" i="18" s="1"/>
  <c r="K195" i="18"/>
  <c r="L130" i="18"/>
  <c r="N69" i="18"/>
  <c r="L53" i="18"/>
  <c r="L80" i="18" s="1"/>
  <c r="L51" i="18"/>
  <c r="L54" i="18" s="1"/>
  <c r="L50" i="18"/>
  <c r="N176" i="18"/>
  <c r="N123" i="18"/>
  <c r="N126" i="18" s="1"/>
  <c r="N127" i="18" s="1"/>
  <c r="N121" i="18"/>
  <c r="L98" i="18"/>
  <c r="L138" i="18" s="1"/>
  <c r="L96" i="18"/>
  <c r="M101" i="18"/>
  <c r="M135" i="18"/>
  <c r="M137" i="18" s="1"/>
  <c r="M147" i="18" s="1"/>
  <c r="M145" i="18" s="1"/>
  <c r="M97" i="18"/>
  <c r="K157" i="18"/>
  <c r="K193" i="18" s="1"/>
  <c r="K160" i="18"/>
  <c r="K99" i="18"/>
  <c r="K100" i="18" s="1"/>
  <c r="K151" i="18"/>
  <c r="K154" i="18"/>
  <c r="M4" i="18"/>
  <c r="N4" i="18" s="1"/>
  <c r="N35" i="18"/>
  <c r="N38" i="18" s="1"/>
  <c r="K198" i="18"/>
  <c r="M109" i="18"/>
  <c r="M119" i="18" s="1"/>
  <c r="M117" i="18" s="1"/>
  <c r="M115" i="18"/>
  <c r="M122" i="18"/>
  <c r="K77" i="18"/>
  <c r="K79" i="18" s="1"/>
  <c r="K89" i="18" s="1"/>
  <c r="K87" i="18" s="1"/>
  <c r="K52" i="18"/>
  <c r="K60" i="18" s="1"/>
  <c r="K58" i="18" s="1"/>
  <c r="K192" i="18"/>
  <c r="M70" i="18"/>
  <c r="M64" i="18"/>
  <c r="M74" i="18" s="1"/>
  <c r="M72" i="18" s="1"/>
  <c r="L159" i="18"/>
  <c r="L153" i="18"/>
  <c r="L162" i="18"/>
  <c r="L198" i="18" s="1"/>
  <c r="L156" i="18"/>
  <c r="L105" i="18"/>
  <c r="L103" i="18" s="1"/>
  <c r="M34" i="18"/>
  <c r="N95" i="18"/>
  <c r="N19" i="18"/>
  <c r="N20" i="18"/>
  <c r="N22" i="18" s="1"/>
  <c r="K189" i="18"/>
  <c r="N107" i="18"/>
  <c r="N62" i="18"/>
  <c r="K40" i="13"/>
  <c r="K39" i="13"/>
  <c r="L37" i="13"/>
  <c r="J34" i="13"/>
  <c r="J33" i="13"/>
  <c r="K31" i="13"/>
  <c r="K28" i="13"/>
  <c r="K27" i="13"/>
  <c r="L25" i="13"/>
  <c r="L19" i="13"/>
  <c r="K22" i="13"/>
  <c r="K21" i="13"/>
  <c r="K13" i="13"/>
  <c r="J16" i="13"/>
  <c r="J15" i="13"/>
  <c r="N23" i="18" l="1"/>
  <c r="N24" i="18"/>
  <c r="N48" i="18" s="1"/>
  <c r="L195" i="18"/>
  <c r="L192" i="18"/>
  <c r="L189" i="18"/>
  <c r="L142" i="18"/>
  <c r="K196" i="18"/>
  <c r="L157" i="18"/>
  <c r="L193" i="18" s="1"/>
  <c r="L160" i="18"/>
  <c r="L196" i="18" s="1"/>
  <c r="L154" i="18"/>
  <c r="L190" i="18" s="1"/>
  <c r="L151" i="18"/>
  <c r="L187" i="18" s="1"/>
  <c r="L99" i="18"/>
  <c r="L100" i="18" s="1"/>
  <c r="N64" i="18"/>
  <c r="N74" i="18" s="1"/>
  <c r="N72" i="18" s="1"/>
  <c r="N73" i="18" s="1"/>
  <c r="N70" i="18"/>
  <c r="N71" i="18" s="1"/>
  <c r="N21" i="18"/>
  <c r="N122" i="18"/>
  <c r="K190" i="18"/>
  <c r="M133" i="18"/>
  <c r="M136" i="18" s="1"/>
  <c r="M140" i="18" s="1"/>
  <c r="M98" i="18"/>
  <c r="M138" i="18" s="1"/>
  <c r="M96" i="18"/>
  <c r="L77" i="18"/>
  <c r="L79" i="18" s="1"/>
  <c r="L89" i="18" s="1"/>
  <c r="L87" i="18" s="1"/>
  <c r="L52" i="18"/>
  <c r="L60" i="18" s="1"/>
  <c r="L58" i="18" s="1"/>
  <c r="N115" i="18"/>
  <c r="N116" i="18" s="1"/>
  <c r="N109" i="18"/>
  <c r="N119" i="18" s="1"/>
  <c r="N117" i="18" s="1"/>
  <c r="N118" i="18" s="1"/>
  <c r="N135" i="18"/>
  <c r="N137" i="18" s="1"/>
  <c r="N147" i="18" s="1"/>
  <c r="N145" i="18" s="1"/>
  <c r="N146" i="18" s="1"/>
  <c r="N101" i="18"/>
  <c r="N97" i="18"/>
  <c r="M128" i="18"/>
  <c r="M143" i="18" s="1"/>
  <c r="M124" i="18"/>
  <c r="M132" i="18" s="1"/>
  <c r="M130" i="18" s="1"/>
  <c r="K187" i="18"/>
  <c r="M162" i="18"/>
  <c r="M156" i="18"/>
  <c r="M159" i="18"/>
  <c r="M153" i="18"/>
  <c r="M105" i="18"/>
  <c r="M103" i="18" s="1"/>
  <c r="M53" i="18"/>
  <c r="M80" i="18" s="1"/>
  <c r="M75" i="18"/>
  <c r="M78" i="18" s="1"/>
  <c r="M82" i="18" s="1"/>
  <c r="M51" i="18"/>
  <c r="M54" i="18" s="1"/>
  <c r="M50" i="18"/>
  <c r="N34" i="18"/>
  <c r="M36" i="18"/>
  <c r="M44" i="18" s="1"/>
  <c r="M42" i="18" s="1"/>
  <c r="L40" i="13"/>
  <c r="L39" i="13"/>
  <c r="M37" i="13"/>
  <c r="K34" i="13"/>
  <c r="K33" i="13"/>
  <c r="L31" i="13"/>
  <c r="M25" i="13"/>
  <c r="L27" i="13"/>
  <c r="L28" i="13"/>
  <c r="L21" i="13"/>
  <c r="L22" i="13"/>
  <c r="M19" i="13"/>
  <c r="L13" i="13"/>
  <c r="K16" i="13"/>
  <c r="K15" i="13"/>
  <c r="N25" i="18" l="1"/>
  <c r="N93" i="18"/>
  <c r="N96" i="18" s="1"/>
  <c r="N50" i="18"/>
  <c r="M142" i="18"/>
  <c r="M192" i="18"/>
  <c r="M198" i="18"/>
  <c r="M189" i="18"/>
  <c r="N162" i="18"/>
  <c r="N156" i="18"/>
  <c r="N159" i="18"/>
  <c r="N153" i="18"/>
  <c r="N105" i="18"/>
  <c r="N103" i="18" s="1"/>
  <c r="N104" i="18" s="1"/>
  <c r="M160" i="18"/>
  <c r="M196" i="18" s="1"/>
  <c r="M154" i="18"/>
  <c r="M190" i="18" s="1"/>
  <c r="M151" i="18"/>
  <c r="M187" i="18" s="1"/>
  <c r="M157" i="18"/>
  <c r="M193" i="18" s="1"/>
  <c r="M99" i="18"/>
  <c r="M100" i="18" s="1"/>
  <c r="N53" i="18"/>
  <c r="N80" i="18" s="1"/>
  <c r="N51" i="18"/>
  <c r="N54" i="18" s="1"/>
  <c r="M195" i="18"/>
  <c r="N102" i="18"/>
  <c r="N133" i="18"/>
  <c r="N98" i="18"/>
  <c r="N138" i="18" s="1"/>
  <c r="N139" i="18" s="1"/>
  <c r="N94" i="18"/>
  <c r="N36" i="18"/>
  <c r="N44" i="18" s="1"/>
  <c r="N42" i="18" s="1"/>
  <c r="N128" i="18"/>
  <c r="N129" i="18" s="1"/>
  <c r="N124" i="18"/>
  <c r="N132" i="18" s="1"/>
  <c r="N130" i="18" s="1"/>
  <c r="N131" i="18" s="1"/>
  <c r="M77" i="18"/>
  <c r="M79" i="18" s="1"/>
  <c r="M89" i="18" s="1"/>
  <c r="M87" i="18" s="1"/>
  <c r="M52" i="18"/>
  <c r="M60" i="18" s="1"/>
  <c r="M58" i="18" s="1"/>
  <c r="M39" i="13"/>
  <c r="M40" i="13"/>
  <c r="M41" i="13" s="1"/>
  <c r="M31" i="13"/>
  <c r="L33" i="13"/>
  <c r="L34" i="13"/>
  <c r="M27" i="13"/>
  <c r="M28" i="13"/>
  <c r="M29" i="13" s="1"/>
  <c r="M21" i="13"/>
  <c r="M22" i="13"/>
  <c r="M23" i="13" s="1"/>
  <c r="L15" i="13"/>
  <c r="L16" i="13"/>
  <c r="M13" i="13"/>
  <c r="N75" i="18" l="1"/>
  <c r="N78" i="18" s="1"/>
  <c r="N82" i="18" s="1"/>
  <c r="N198" i="18"/>
  <c r="N189" i="18"/>
  <c r="N136" i="18"/>
  <c r="N140" i="18" s="1"/>
  <c r="N134" i="18"/>
  <c r="N77" i="18"/>
  <c r="N79" i="18" s="1"/>
  <c r="N89" i="18" s="1"/>
  <c r="N87" i="18" s="1"/>
  <c r="N52" i="18"/>
  <c r="N60" i="18" s="1"/>
  <c r="N58" i="18" s="1"/>
  <c r="N143" i="18"/>
  <c r="N144" i="18" s="1"/>
  <c r="N195" i="18"/>
  <c r="N160" i="18"/>
  <c r="N154" i="18"/>
  <c r="N157" i="18"/>
  <c r="N99" i="18"/>
  <c r="N100" i="18" s="1"/>
  <c r="N151" i="18"/>
  <c r="N192" i="18"/>
  <c r="M33" i="13"/>
  <c r="M34" i="13"/>
  <c r="M35" i="13" s="1"/>
  <c r="M15" i="13"/>
  <c r="M16" i="13"/>
  <c r="N190" i="18" l="1"/>
  <c r="N191" i="18" s="1"/>
  <c r="N155" i="18"/>
  <c r="N187" i="18"/>
  <c r="N188" i="18" s="1"/>
  <c r="N152" i="18"/>
  <c r="N196" i="18"/>
  <c r="N197" i="18" s="1"/>
  <c r="N161" i="18"/>
  <c r="N193" i="18"/>
  <c r="N194" i="18" s="1"/>
  <c r="N158" i="18"/>
  <c r="N141" i="18"/>
  <c r="N142" i="18"/>
  <c r="M17" i="13"/>
  <c r="E34" i="18"/>
  <c r="E51" i="18"/>
  <c r="E54" i="18" s="1"/>
  <c r="E55" i="18" s="1"/>
  <c r="F55" i="18" s="1"/>
  <c r="G55" i="18" s="1"/>
  <c r="H55" i="18" s="1"/>
  <c r="I55" i="18" s="1"/>
  <c r="J55" i="18" s="1"/>
  <c r="K55" i="18" s="1"/>
  <c r="L55" i="18" s="1"/>
  <c r="M55" i="18" s="1"/>
  <c r="N55" i="18" s="1"/>
  <c r="E53" i="18"/>
  <c r="E80" i="18" s="1"/>
  <c r="I81" i="18" s="1"/>
  <c r="N49" i="18"/>
  <c r="N32" i="18"/>
  <c r="E35" i="18"/>
  <c r="E38" i="18" s="1"/>
  <c r="E39" i="18" s="1"/>
  <c r="F39" i="18" s="1"/>
  <c r="G39" i="18" s="1"/>
  <c r="H39" i="18" s="1"/>
  <c r="I39" i="18" s="1"/>
  <c r="J39" i="18" s="1"/>
  <c r="K39" i="18" s="1"/>
  <c r="L39" i="18" s="1"/>
  <c r="M39" i="18" s="1"/>
  <c r="N39" i="18" s="1"/>
  <c r="I32" i="18"/>
  <c r="E36" i="18" l="1"/>
  <c r="E44" i="18" s="1"/>
  <c r="E40" i="18"/>
  <c r="N81" i="18"/>
  <c r="E75" i="18"/>
  <c r="E50" i="18"/>
  <c r="I49" i="18"/>
  <c r="I5" i="18" s="1"/>
  <c r="E77" i="18" l="1"/>
  <c r="E79" i="18" s="1"/>
  <c r="E89" i="18" s="1"/>
  <c r="E52" i="18"/>
  <c r="E60" i="18" s="1"/>
  <c r="E56" i="18"/>
  <c r="F42" i="18"/>
  <c r="E42" i="18"/>
  <c r="E78" i="18"/>
  <c r="E82" i="18" s="1"/>
  <c r="I76" i="18"/>
  <c r="I8" i="18" s="1"/>
  <c r="N76" i="18"/>
  <c r="F40" i="18"/>
  <c r="G40" i="18" s="1"/>
  <c r="H40" i="18" s="1"/>
  <c r="I40" i="18" s="1"/>
  <c r="J40" i="18" s="1"/>
  <c r="K40" i="18" s="1"/>
  <c r="L40" i="18" s="1"/>
  <c r="M40" i="18" s="1"/>
  <c r="N40" i="18" s="1"/>
  <c r="I41" i="18" l="1"/>
  <c r="I4" i="18" s="1"/>
  <c r="E85" i="18"/>
  <c r="F56" i="18"/>
  <c r="E58" i="18"/>
  <c r="F58" i="18"/>
  <c r="N83" i="18"/>
  <c r="E84" i="18"/>
  <c r="F84" i="18" s="1"/>
  <c r="G84" i="18" s="1"/>
  <c r="H84" i="18" s="1"/>
  <c r="I84" i="18" s="1"/>
  <c r="J84" i="18" s="1"/>
  <c r="K84" i="18" s="1"/>
  <c r="L84" i="18" s="1"/>
  <c r="M84" i="18" s="1"/>
  <c r="N84" i="18" s="1"/>
  <c r="I83" i="18"/>
  <c r="N41" i="18"/>
  <c r="N43" i="18"/>
  <c r="I43" i="18"/>
  <c r="E87" i="18"/>
  <c r="F87" i="18"/>
  <c r="G56" i="18" l="1"/>
  <c r="F85" i="18"/>
  <c r="N88" i="18"/>
  <c r="I88" i="18"/>
  <c r="I59" i="18"/>
  <c r="N59" i="18"/>
  <c r="G85" i="18" l="1"/>
  <c r="H56" i="18"/>
  <c r="I56" i="18" l="1"/>
  <c r="H85" i="18"/>
  <c r="I57" i="18"/>
  <c r="J56" i="18" l="1"/>
  <c r="I85" i="18"/>
  <c r="J85" i="18" l="1"/>
  <c r="K56" i="18"/>
  <c r="I86" i="18"/>
  <c r="L56" i="18" l="1"/>
  <c r="K85" i="18"/>
  <c r="L85" i="18" l="1"/>
  <c r="M56" i="18"/>
  <c r="N56" i="18" l="1"/>
  <c r="N85" i="18" s="1"/>
  <c r="M85" i="18"/>
  <c r="N57" i="18"/>
  <c r="N86" i="18" l="1"/>
</calcChain>
</file>

<file path=xl/sharedStrings.xml><?xml version="1.0" encoding="utf-8"?>
<sst xmlns="http://schemas.openxmlformats.org/spreadsheetml/2006/main" count="373" uniqueCount="88">
  <si>
    <t>Bitcoin USD Price</t>
  </si>
  <si>
    <t>Bitcoin USD Marketcap</t>
  </si>
  <si>
    <t>Bitcoin USD Price Start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</si>
  <si>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</si>
  <si>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</si>
  <si>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</si>
  <si>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</si>
  <si>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</si>
  <si>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</si>
  <si>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</si>
  <si>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</si>
  <si>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</si>
  <si>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</si>
  <si>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Remaining BTC Yield %</t>
  </si>
  <si>
    <t>Cumulative BTC Yield %</t>
  </si>
  <si>
    <t>Annual BTC Yield %</t>
  </si>
  <si>
    <t>Bitcoin Growth Yield (BiGY)</t>
  </si>
  <si>
    <t>Bitcoin Transaction Yield (BiTY)</t>
  </si>
  <si>
    <t>Total Yield</t>
  </si>
  <si>
    <t>Annual</t>
  </si>
  <si>
    <t>Bitcoin</t>
  </si>
  <si>
    <t>Test Case</t>
  </si>
  <si>
    <t>Annual Average</t>
  </si>
  <si>
    <t>Bitcoin Compound Annual Growth Rate Calculator</t>
  </si>
  <si>
    <t>Start Price</t>
  </si>
  <si>
    <t>Start Date</t>
  </si>
  <si>
    <t>End Price</t>
  </si>
  <si>
    <t>End Date</t>
  </si>
  <si>
    <t>Bitcoin Yield Estimate Variables</t>
  </si>
  <si>
    <t>Compound Annual Growth Rate</t>
  </si>
  <si>
    <t>Bitcoin Compound Annual Growth Rate (CAGR)</t>
  </si>
  <si>
    <t>Annual Average BTC Yield %</t>
  </si>
  <si>
    <t>USD %</t>
  </si>
  <si>
    <t>BTC %</t>
  </si>
  <si>
    <t>Stable Balancer BTC %</t>
  </si>
  <si>
    <t>Stable Provider BTC %</t>
  </si>
  <si>
    <t>Stable Receiver USD %</t>
  </si>
  <si>
    <t>Stable Receiver / Fiat Investor</t>
  </si>
  <si>
    <t>Stable Provider / Bitcoin Investor</t>
  </si>
  <si>
    <t>Stable Balancer / Lightning Bank</t>
  </si>
  <si>
    <t>Total BTC %</t>
  </si>
  <si>
    <t>BTC</t>
  </si>
  <si>
    <t>USD</t>
  </si>
  <si>
    <t>SR USD Comp.</t>
  </si>
  <si>
    <t>USD
Compounded</t>
  </si>
  <si>
    <t>USD
Simple</t>
  </si>
  <si>
    <t>SP BiGY BTC</t>
  </si>
  <si>
    <t>SP Total BTC</t>
  </si>
  <si>
    <t>SB BiGY BTC</t>
  </si>
  <si>
    <t>SB Total BTC</t>
  </si>
  <si>
    <t>Annual Avg. %</t>
  </si>
  <si>
    <t>Annual Avg.</t>
  </si>
  <si>
    <t>Cumulative</t>
  </si>
  <si>
    <t>Cumulative %</t>
  </si>
  <si>
    <t>Remaining %</t>
  </si>
  <si>
    <t>Annual %</t>
  </si>
  <si>
    <t>Annual Average %</t>
  </si>
  <si>
    <t>Channel Annual %</t>
  </si>
  <si>
    <t>Channel Cumulative %</t>
  </si>
  <si>
    <t>Test Case Annual</t>
  </si>
  <si>
    <t>Test Case Cumulative</t>
  </si>
  <si>
    <t>Test Case Annual Average</t>
  </si>
  <si>
    <t>Price</t>
  </si>
  <si>
    <t>Marketcap</t>
  </si>
  <si>
    <t>Unit of Account</t>
  </si>
  <si>
    <t>Measure</t>
  </si>
  <si>
    <t>Yield Estimate Calculator</t>
  </si>
  <si>
    <t>Bitcoin TVL</t>
  </si>
  <si>
    <t>BTC Measure</t>
  </si>
  <si>
    <t>BTC TVL</t>
  </si>
  <si>
    <t>Bitcoin Yield Estimate 10 Year Burndown Summary</t>
  </si>
  <si>
    <r>
      <t xml:space="preserve">Bitcoin Yield Estimate 5 Year Summary
</t>
    </r>
    <r>
      <rPr>
        <sz val="11"/>
        <rFont val="Aptos Display"/>
        <family val="2"/>
        <scheme val="major"/>
      </rPr>
      <t>Stable Receiver = SR
Stable Provider = SP
Stable Balancer = SB</t>
    </r>
  </si>
  <si>
    <r>
      <t xml:space="preserve">Lightning Bank 5 Year Revenue Summary
</t>
    </r>
    <r>
      <rPr>
        <sz val="11"/>
        <rFont val="Aptos Display"/>
        <family val="2"/>
        <scheme val="major"/>
      </rPr>
      <t>Total Value Locked = TVL</t>
    </r>
  </si>
  <si>
    <t>Bitcoin Loan Yield (BiLY)</t>
  </si>
  <si>
    <t>SB BiLY BTC</t>
  </si>
  <si>
    <t>SB BiTY BTC</t>
  </si>
  <si>
    <t>SP BiTY BTC</t>
  </si>
  <si>
    <r>
      <t xml:space="preserve">Bitcoin Yield Estimate Variables
</t>
    </r>
    <r>
      <rPr>
        <sz val="11"/>
        <rFont val="Aptos Display"/>
        <family val="2"/>
        <scheme val="major"/>
      </rPr>
      <t>Bitcoin Transaction Yield = BiTY
Bitcoin Growth Yield = BiGY
Bitcoin Loan Yield = BiLY</t>
    </r>
  </si>
  <si>
    <t>Annual BiTY %</t>
  </si>
  <si>
    <t>SP Loan BTC</t>
  </si>
  <si>
    <t>SP Annual Loan USD %</t>
  </si>
  <si>
    <t>SP Loan-to-Value %</t>
  </si>
  <si>
    <t>Bitcoin Lightning Bank
The Decentralized Strategy
Pairing Bitcoin Investors with Fiat Investors for Yield Extraction and Leveraged Lending</t>
  </si>
  <si>
    <t>Annual BiGY % (CAGR)</t>
  </si>
  <si>
    <t>Loan Boost Annual %</t>
  </si>
  <si>
    <t>Loan Boost Annual Avg. %</t>
  </si>
  <si>
    <t>Total Annual %</t>
  </si>
  <si>
    <t>Total Annual Average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</si>
</sst>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##0.00,,&quot; M&quot;"/>
    <numFmt numFmtId="165" formatCode="&quot;$&quot;#,##0,&quot; K&quot;"/>
    <numFmt numFmtId="166" formatCode="&quot;$&quot;###0.00,,,,&quot; T&quot;"/>
    <numFmt numFmtId="167" formatCode="&quot;$&quot;#,##0.00"/>
    <numFmt numFmtId="168" formatCode="#,##0,&quot; K&quot;"/>
    <numFmt numFmtId="169" formatCode="###0.0,,&quot; M&quot;"/>
    <numFmt numFmtId="170" formatCode="&quot;$&quot;###0.00,,,&quot; B&quot;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0"/>
      <name val="Aptos Display"/>
      <family val="2"/>
      <scheme val="major"/>
    </font>
    <font>
      <sz val="1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11"/>
      <name val="Aptos Display"/>
      <family val="2"/>
      <scheme val="major"/>
    </font>
    <font>
      <sz val="12"/>
      <color theme="0"/>
      <name val="Aptos Display"/>
      <family val="2"/>
      <scheme val="major"/>
    </font>
    <font>
      <sz val="11"/>
      <color rgb="FF00610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18"/>
      <color theme="1"/>
      <name val="Aptos Display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DA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/>
      </left>
      <right style="thin">
        <color theme="0"/>
      </right>
      <top/>
      <bottom style="thin">
        <color theme="1" tint="0.34998626667073579"/>
      </bottom>
      <diagonal/>
    </border>
    <border>
      <left style="thin">
        <color theme="0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7" fillId="11" borderId="0" applyNumberFormat="0" applyBorder="0" applyAlignment="0" applyProtection="0"/>
  </cellStyleXfs>
  <cellXfs count="143">
    <xf numFmtId="0" fontId="0" fillId="0" borderId="0" xfId="0"/>
    <xf numFmtId="0" fontId="1" fillId="0" borderId="4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6" borderId="0" xfId="0" applyFont="1" applyFill="1" applyAlignment="1">
      <alignment horizontal="left" vertical="center" wrapText="1" indent="1"/>
    </xf>
    <xf numFmtId="10" fontId="4" fillId="6" borderId="6" xfId="0" applyNumberFormat="1" applyFont="1" applyFill="1" applyBorder="1" applyAlignment="1">
      <alignment horizontal="left" vertical="center" wrapText="1" indent="1"/>
    </xf>
    <xf numFmtId="10" fontId="4" fillId="6" borderId="5" xfId="0" applyNumberFormat="1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164" fontId="1" fillId="0" borderId="3" xfId="0" applyNumberFormat="1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10" fontId="1" fillId="0" borderId="0" xfId="0" applyNumberFormat="1" applyFont="1" applyAlignment="1">
      <alignment horizontal="left" vertical="center" indent="1"/>
    </xf>
    <xf numFmtId="164" fontId="1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67" fontId="1" fillId="0" borderId="0" xfId="0" applyNumberFormat="1" applyFont="1" applyAlignment="1">
      <alignment horizontal="left" vertical="center" indent="1"/>
    </xf>
    <xf numFmtId="0" fontId="5" fillId="5" borderId="10" xfId="0" applyFont="1" applyFill="1" applyBorder="1" applyAlignment="1">
      <alignment horizontal="left" vertical="center" indent="1"/>
    </xf>
    <xf numFmtId="10" fontId="5" fillId="5" borderId="10" xfId="0" applyNumberFormat="1" applyFont="1" applyFill="1" applyBorder="1" applyAlignment="1">
      <alignment horizontal="left" vertical="center" indent="1"/>
    </xf>
    <xf numFmtId="10" fontId="4" fillId="5" borderId="10" xfId="0" applyNumberFormat="1" applyFont="1" applyFill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4" fontId="1" fillId="0" borderId="12" xfId="0" applyNumberFormat="1" applyFont="1" applyBorder="1" applyAlignment="1">
      <alignment horizontal="left" vertical="center" indent="1"/>
    </xf>
    <xf numFmtId="164" fontId="1" fillId="0" borderId="12" xfId="0" applyNumberFormat="1" applyFont="1" applyBorder="1" applyAlignment="1">
      <alignment horizontal="left" vertical="center" indent="1"/>
    </xf>
    <xf numFmtId="164" fontId="1" fillId="6" borderId="12" xfId="0" applyNumberFormat="1" applyFont="1" applyFill="1" applyBorder="1" applyAlignment="1">
      <alignment horizontal="left" vertical="center" indent="1"/>
    </xf>
    <xf numFmtId="165" fontId="1" fillId="6" borderId="12" xfId="0" applyNumberFormat="1" applyFont="1" applyFill="1" applyBorder="1" applyAlignment="1">
      <alignment horizontal="left" vertical="center" indent="1"/>
    </xf>
    <xf numFmtId="165" fontId="1" fillId="0" borderId="12" xfId="0" applyNumberFormat="1" applyFont="1" applyBorder="1" applyAlignment="1">
      <alignment horizontal="left" vertical="center" indent="1"/>
    </xf>
    <xf numFmtId="166" fontId="1" fillId="0" borderId="12" xfId="0" applyNumberFormat="1" applyFont="1" applyBorder="1" applyAlignment="1">
      <alignment horizontal="left" vertical="center" indent="1"/>
    </xf>
    <xf numFmtId="10" fontId="3" fillId="0" borderId="12" xfId="0" applyNumberFormat="1" applyFont="1" applyBorder="1" applyAlignment="1">
      <alignment horizontal="left" vertical="center" indent="1"/>
    </xf>
    <xf numFmtId="3" fontId="1" fillId="0" borderId="12" xfId="0" applyNumberFormat="1" applyFont="1" applyBorder="1" applyAlignment="1">
      <alignment horizontal="left" vertical="center" indent="1"/>
    </xf>
    <xf numFmtId="3" fontId="4" fillId="8" borderId="12" xfId="0" applyNumberFormat="1" applyFont="1" applyFill="1" applyBorder="1" applyAlignment="1">
      <alignment horizontal="left" vertical="center" indent="1"/>
    </xf>
    <xf numFmtId="3" fontId="4" fillId="5" borderId="10" xfId="0" applyNumberFormat="1" applyFont="1" applyFill="1" applyBorder="1" applyAlignment="1">
      <alignment horizontal="left" vertical="center" indent="1"/>
    </xf>
    <xf numFmtId="3" fontId="4" fillId="8" borderId="10" xfId="0" applyNumberFormat="1" applyFont="1" applyFill="1" applyBorder="1" applyAlignment="1">
      <alignment horizontal="left" vertical="center" indent="1"/>
    </xf>
    <xf numFmtId="0" fontId="4" fillId="7" borderId="11" xfId="0" applyFont="1" applyFill="1" applyBorder="1" applyAlignment="1">
      <alignment horizontal="left" vertical="center" wrapText="1" indent="1"/>
    </xf>
    <xf numFmtId="0" fontId="4" fillId="4" borderId="11" xfId="0" applyFont="1" applyFill="1" applyBorder="1" applyAlignment="1">
      <alignment horizontal="left" vertical="center" wrapText="1" indent="1"/>
    </xf>
    <xf numFmtId="0" fontId="4" fillId="3" borderId="11" xfId="0" applyFont="1" applyFill="1" applyBorder="1" applyAlignment="1">
      <alignment horizontal="left" vertical="center" wrapText="1" indent="1"/>
    </xf>
    <xf numFmtId="10" fontId="4" fillId="0" borderId="3" xfId="0" applyNumberFormat="1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wrapText="1" indent="1"/>
    </xf>
    <xf numFmtId="164" fontId="4" fillId="4" borderId="10" xfId="0" applyNumberFormat="1" applyFont="1" applyFill="1" applyBorder="1" applyAlignment="1">
      <alignment horizontal="left" vertical="center" wrapText="1" indent="1"/>
    </xf>
    <xf numFmtId="10" fontId="4" fillId="4" borderId="10" xfId="0" applyNumberFormat="1" applyFont="1" applyFill="1" applyBorder="1" applyAlignment="1">
      <alignment horizontal="left" vertical="center" wrapText="1" indent="1"/>
    </xf>
    <xf numFmtId="10" fontId="4" fillId="4" borderId="10" xfId="0" applyNumberFormat="1" applyFont="1" applyFill="1" applyBorder="1" applyAlignment="1">
      <alignment horizontal="left" vertical="center" indent="1"/>
    </xf>
    <xf numFmtId="10" fontId="5" fillId="4" borderId="10" xfId="0" applyNumberFormat="1" applyFont="1" applyFill="1" applyBorder="1" applyAlignment="1">
      <alignment horizontal="left" vertical="center" wrapText="1" indent="1"/>
    </xf>
    <xf numFmtId="10" fontId="5" fillId="6" borderId="10" xfId="0" applyNumberFormat="1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indent="1"/>
    </xf>
    <xf numFmtId="10" fontId="4" fillId="8" borderId="10" xfId="0" applyNumberFormat="1" applyFont="1" applyFill="1" applyBorder="1" applyAlignment="1">
      <alignment horizontal="left" vertical="center" indent="1"/>
    </xf>
    <xf numFmtId="10" fontId="4" fillId="7" borderId="11" xfId="0" applyNumberFormat="1" applyFont="1" applyFill="1" applyBorder="1" applyAlignment="1">
      <alignment horizontal="left" vertical="center" indent="1"/>
    </xf>
    <xf numFmtId="10" fontId="4" fillId="4" borderId="11" xfId="0" applyNumberFormat="1" applyFont="1" applyFill="1" applyBorder="1" applyAlignment="1">
      <alignment horizontal="left" vertical="center" indent="1"/>
    </xf>
    <xf numFmtId="10" fontId="4" fillId="3" borderId="11" xfId="0" applyNumberFormat="1" applyFont="1" applyFill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10" fontId="4" fillId="8" borderId="11" xfId="0" applyNumberFormat="1" applyFont="1" applyFill="1" applyBorder="1" applyAlignment="1">
      <alignment horizontal="left" vertical="center" wrapText="1" indent="1"/>
    </xf>
    <xf numFmtId="10" fontId="4" fillId="8" borderId="20" xfId="0" applyNumberFormat="1" applyFont="1" applyFill="1" applyBorder="1" applyAlignment="1">
      <alignment horizontal="left" vertical="center" wrapText="1" indent="1"/>
    </xf>
    <xf numFmtId="3" fontId="4" fillId="8" borderId="10" xfId="0" applyNumberFormat="1" applyFont="1" applyFill="1" applyBorder="1" applyAlignment="1">
      <alignment horizontal="left" vertical="center" wrapText="1" indent="1"/>
    </xf>
    <xf numFmtId="3" fontId="4" fillId="8" borderId="11" xfId="0" applyNumberFormat="1" applyFont="1" applyFill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indent="1"/>
    </xf>
    <xf numFmtId="0" fontId="4" fillId="7" borderId="0" xfId="0" applyFont="1" applyFill="1" applyAlignment="1">
      <alignment horizontal="left" vertical="center" indent="1"/>
    </xf>
    <xf numFmtId="10" fontId="5" fillId="7" borderId="0" xfId="0" applyNumberFormat="1" applyFont="1" applyFill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10" fontId="5" fillId="4" borderId="0" xfId="0" applyNumberFormat="1" applyFont="1" applyFill="1" applyAlignment="1">
      <alignment horizontal="left" vertical="center" indent="1"/>
    </xf>
    <xf numFmtId="10" fontId="5" fillId="3" borderId="0" xfId="0" applyNumberFormat="1" applyFont="1" applyFill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164" fontId="1" fillId="0" borderId="22" xfId="0" applyNumberFormat="1" applyFont="1" applyBorder="1" applyAlignment="1">
      <alignment horizontal="left" vertical="center" indent="1"/>
    </xf>
    <xf numFmtId="164" fontId="1" fillId="0" borderId="23" xfId="0" applyNumberFormat="1" applyFont="1" applyBorder="1" applyAlignment="1">
      <alignment horizontal="left" vertical="center" indent="1"/>
    </xf>
    <xf numFmtId="166" fontId="1" fillId="0" borderId="22" xfId="0" applyNumberFormat="1" applyFont="1" applyBorder="1" applyAlignment="1">
      <alignment horizontal="left" vertical="center" indent="1"/>
    </xf>
    <xf numFmtId="166" fontId="1" fillId="0" borderId="23" xfId="0" applyNumberFormat="1" applyFont="1" applyBorder="1" applyAlignment="1">
      <alignment horizontal="left" vertical="center" indent="1"/>
    </xf>
    <xf numFmtId="10" fontId="5" fillId="5" borderId="21" xfId="0" applyNumberFormat="1" applyFont="1" applyFill="1" applyBorder="1" applyAlignment="1">
      <alignment horizontal="left" vertical="center" indent="1"/>
    </xf>
    <xf numFmtId="10" fontId="5" fillId="8" borderId="21" xfId="0" applyNumberFormat="1" applyFont="1" applyFill="1" applyBorder="1" applyAlignment="1">
      <alignment horizontal="left" vertical="center" indent="1"/>
    </xf>
    <xf numFmtId="10" fontId="1" fillId="0" borderId="22" xfId="0" applyNumberFormat="1" applyFont="1" applyBorder="1" applyAlignment="1">
      <alignment horizontal="left" vertical="center" indent="1"/>
    </xf>
    <xf numFmtId="10" fontId="1" fillId="0" borderId="23" xfId="0" applyNumberFormat="1" applyFont="1" applyBorder="1" applyAlignment="1">
      <alignment horizontal="left" vertical="center" indent="1"/>
    </xf>
    <xf numFmtId="10" fontId="3" fillId="0" borderId="23" xfId="0" applyNumberFormat="1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5" fillId="5" borderId="25" xfId="0" applyFont="1" applyFill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wrapText="1" indent="1"/>
    </xf>
    <xf numFmtId="10" fontId="4" fillId="7" borderId="12" xfId="0" applyNumberFormat="1" applyFont="1" applyFill="1" applyBorder="1" applyAlignment="1">
      <alignment vertical="center" wrapText="1"/>
    </xf>
    <xf numFmtId="10" fontId="4" fillId="6" borderId="12" xfId="0" applyNumberFormat="1" applyFont="1" applyFill="1" applyBorder="1" applyAlignment="1">
      <alignment horizontal="left" vertical="center" wrapText="1" indent="1"/>
    </xf>
    <xf numFmtId="10" fontId="4" fillId="6" borderId="0" xfId="0" applyNumberFormat="1" applyFont="1" applyFill="1" applyAlignment="1">
      <alignment horizontal="left" vertical="center" wrapText="1" indent="1"/>
    </xf>
    <xf numFmtId="0" fontId="1" fillId="0" borderId="27" xfId="0" applyFont="1" applyBorder="1" applyAlignment="1">
      <alignment horizontal="left" vertical="center" indent="1"/>
    </xf>
    <xf numFmtId="0" fontId="4" fillId="10" borderId="11" xfId="0" applyFont="1" applyFill="1" applyBorder="1" applyAlignment="1">
      <alignment horizontal="left" vertical="center" indent="1"/>
    </xf>
    <xf numFmtId="170" fontId="8" fillId="11" borderId="11" xfId="1" applyNumberFormat="1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wrapText="1" indent="1"/>
    </xf>
    <xf numFmtId="168" fontId="3" fillId="0" borderId="12" xfId="0" applyNumberFormat="1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wrapText="1" indent="1"/>
    </xf>
    <xf numFmtId="167" fontId="4" fillId="4" borderId="12" xfId="0" applyNumberFormat="1" applyFont="1" applyFill="1" applyBorder="1" applyAlignment="1">
      <alignment horizontal="left" vertical="center" indent="1"/>
    </xf>
    <xf numFmtId="14" fontId="4" fillId="4" borderId="12" xfId="0" applyNumberFormat="1" applyFont="1" applyFill="1" applyBorder="1" applyAlignment="1">
      <alignment horizontal="left" vertical="center" wrapText="1" indent="1"/>
    </xf>
    <xf numFmtId="10" fontId="4" fillId="10" borderId="9" xfId="0" applyNumberFormat="1" applyFont="1" applyFill="1" applyBorder="1" applyAlignment="1">
      <alignment horizontal="left" vertical="center" indent="1"/>
    </xf>
    <xf numFmtId="10" fontId="4" fillId="10" borderId="0" xfId="0" applyNumberFormat="1" applyFont="1" applyFill="1" applyAlignment="1">
      <alignment vertical="center"/>
    </xf>
    <xf numFmtId="169" fontId="3" fillId="0" borderId="4" xfId="0" applyNumberFormat="1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indent="1"/>
    </xf>
    <xf numFmtId="10" fontId="5" fillId="8" borderId="10" xfId="0" applyNumberFormat="1" applyFont="1" applyFill="1" applyBorder="1" applyAlignment="1">
      <alignment horizontal="left" vertical="center" indent="1"/>
    </xf>
    <xf numFmtId="0" fontId="5" fillId="0" borderId="15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indent="1"/>
    </xf>
    <xf numFmtId="0" fontId="5" fillId="0" borderId="12" xfId="0" applyFont="1" applyBorder="1" applyAlignment="1">
      <alignment horizontal="left" vertical="center" indent="1"/>
    </xf>
    <xf numFmtId="169" fontId="5" fillId="0" borderId="12" xfId="0" applyNumberFormat="1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17" xfId="0" applyFont="1" applyBorder="1" applyAlignment="1">
      <alignment horizontal="left" vertical="center" indent="1"/>
    </xf>
    <xf numFmtId="10" fontId="1" fillId="0" borderId="12" xfId="0" applyNumberFormat="1" applyFont="1" applyBorder="1" applyAlignment="1">
      <alignment horizontal="left" vertical="center" indent="1"/>
    </xf>
    <xf numFmtId="0" fontId="1" fillId="0" borderId="14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15" xfId="0" applyFont="1" applyBorder="1" applyAlignment="1">
      <alignment horizontal="left" vertical="center" indent="1"/>
    </xf>
    <xf numFmtId="0" fontId="1" fillId="0" borderId="16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left" vertical="center" indent="1"/>
    </xf>
    <xf numFmtId="0" fontId="6" fillId="2" borderId="19" xfId="0" applyFont="1" applyFill="1" applyBorder="1" applyAlignment="1">
      <alignment horizontal="left" vertical="center" wrapText="1" indent="1"/>
    </xf>
    <xf numFmtId="0" fontId="6" fillId="2" borderId="18" xfId="0" applyFont="1" applyFill="1" applyBorder="1" applyAlignment="1">
      <alignment horizontal="left" vertical="center" wrapText="1" indent="1"/>
    </xf>
    <xf numFmtId="0" fontId="6" fillId="2" borderId="9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6" fillId="2" borderId="26" xfId="0" applyFont="1" applyFill="1" applyBorder="1" applyAlignment="1">
      <alignment horizontal="left" vertical="center" wrapText="1" indent="1"/>
    </xf>
    <xf numFmtId="0" fontId="6" fillId="2" borderId="6" xfId="0" applyFont="1" applyFill="1" applyBorder="1" applyAlignment="1">
      <alignment horizontal="left" vertical="center" wrapText="1" indent="1"/>
    </xf>
    <xf numFmtId="0" fontId="5" fillId="10" borderId="18" xfId="0" applyFont="1" applyFill="1" applyBorder="1" applyAlignment="1">
      <alignment horizontal="left" vertical="center" wrapText="1" indent="1"/>
    </xf>
    <xf numFmtId="0" fontId="5" fillId="10" borderId="7" xfId="0" applyFont="1" applyFill="1" applyBorder="1" applyAlignment="1">
      <alignment horizontal="left" vertical="center" indent="1"/>
    </xf>
    <xf numFmtId="0" fontId="5" fillId="10" borderId="11" xfId="0" applyFont="1" applyFill="1" applyBorder="1" applyAlignment="1">
      <alignment horizontal="left" vertical="center" indent="1"/>
    </xf>
    <xf numFmtId="0" fontId="5" fillId="10" borderId="20" xfId="0" applyFont="1" applyFill="1" applyBorder="1" applyAlignment="1">
      <alignment horizontal="left" vertical="center" indent="1"/>
    </xf>
    <xf numFmtId="0" fontId="5" fillId="10" borderId="19" xfId="0" applyFont="1" applyFill="1" applyBorder="1" applyAlignment="1">
      <alignment horizontal="left" vertical="center" wrapText="1" indent="1"/>
    </xf>
    <xf numFmtId="0" fontId="5" fillId="10" borderId="17" xfId="0" applyFont="1" applyFill="1" applyBorder="1" applyAlignment="1">
      <alignment horizontal="left" vertical="center" wrapText="1" indent="1"/>
    </xf>
    <xf numFmtId="0" fontId="5" fillId="10" borderId="11" xfId="0" applyFont="1" applyFill="1" applyBorder="1" applyAlignment="1">
      <alignment horizontal="left" vertical="center" wrapText="1" indent="1"/>
    </xf>
    <xf numFmtId="0" fontId="5" fillId="10" borderId="0" xfId="0" applyFont="1" applyFill="1" applyAlignment="1">
      <alignment horizontal="left" vertical="center" wrapText="1" indent="1"/>
    </xf>
    <xf numFmtId="0" fontId="5" fillId="10" borderId="18" xfId="0" applyFont="1" applyFill="1" applyBorder="1" applyAlignment="1">
      <alignment horizontal="left" vertical="center" indent="1"/>
    </xf>
    <xf numFmtId="0" fontId="4" fillId="9" borderId="18" xfId="0" applyFont="1" applyFill="1" applyBorder="1" applyAlignment="1">
      <alignment horizontal="left" vertical="center" indent="1"/>
    </xf>
    <xf numFmtId="0" fontId="4" fillId="9" borderId="11" xfId="0" applyFont="1" applyFill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wrapText="1" indent="1"/>
    </xf>
    <xf numFmtId="0" fontId="4" fillId="7" borderId="18" xfId="0" applyFont="1" applyFill="1" applyBorder="1" applyAlignment="1">
      <alignment horizontal="left" vertical="center" indent="1"/>
    </xf>
    <xf numFmtId="0" fontId="4" fillId="7" borderId="11" xfId="0" applyFont="1" applyFill="1" applyBorder="1" applyAlignment="1">
      <alignment horizontal="left" vertical="center" indent="1"/>
    </xf>
    <xf numFmtId="0" fontId="4" fillId="4" borderId="18" xfId="0" applyFont="1" applyFill="1" applyBorder="1" applyAlignment="1">
      <alignment horizontal="left" vertical="center" indent="1"/>
    </xf>
    <xf numFmtId="0" fontId="4" fillId="4" borderId="11" xfId="0" applyFont="1" applyFill="1" applyBorder="1" applyAlignment="1">
      <alignment horizontal="left" vertical="center" indent="1"/>
    </xf>
    <xf numFmtId="0" fontId="4" fillId="3" borderId="18" xfId="0" applyFont="1" applyFill="1" applyBorder="1" applyAlignment="1">
      <alignment horizontal="left" vertical="center" indent="1"/>
    </xf>
    <xf numFmtId="0" fontId="4" fillId="3" borderId="11" xfId="0" applyFont="1" applyFill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wrapText="1" indent="1"/>
    </xf>
    <xf numFmtId="0" fontId="4" fillId="3" borderId="11" xfId="0" applyFont="1" applyFill="1" applyBorder="1" applyAlignment="1">
      <alignment horizontal="left" vertical="center" wrapText="1" indent="1"/>
    </xf>
    <xf numFmtId="168" fontId="1" fillId="0" borderId="15" xfId="0" applyNumberFormat="1" applyFont="1" applyBorder="1" applyAlignment="1">
      <alignment horizontal="left" vertical="center" indent="1"/>
    </xf>
    <xf numFmtId="168" fontId="1" fillId="0" borderId="12" xfId="0" applyNumberFormat="1" applyFont="1" applyBorder="1" applyAlignment="1">
      <alignment horizontal="left" vertical="center" indent="1"/>
    </xf>
    <xf numFmtId="169" fontId="4" fillId="5" borderId="10" xfId="0" applyNumberFormat="1" applyFont="1" applyFill="1" applyBorder="1" applyAlignment="1">
      <alignment horizontal="left" vertical="center" indent="1"/>
    </xf>
    <xf numFmtId="0" fontId="5" fillId="10" borderId="0" xfId="0" applyFont="1" applyFill="1" applyAlignment="1">
      <alignment horizontal="left" vertical="center" indent="1"/>
    </xf>
    <xf numFmtId="9" fontId="9" fillId="0" borderId="4" xfId="0" applyNumberFormat="1" applyFont="1" applyBorder="1" applyAlignment="1">
      <alignment horizontal="center" vertical="center"/>
    </xf>
    <xf numFmtId="9" fontId="9" fillId="0" borderId="24" xfId="0" applyNumberFormat="1" applyFont="1" applyBorder="1" applyAlignment="1">
      <alignment horizontal="center" vertical="center"/>
    </xf>
    <xf numFmtId="9" fontId="9" fillId="0" borderId="14" xfId="0" applyNumberFormat="1" applyFont="1" applyBorder="1" applyAlignment="1">
      <alignment horizontal="center" vertical="center"/>
    </xf>
    <xf numFmtId="9" fontId="9" fillId="0" borderId="15" xfId="0" applyNumberFormat="1" applyFont="1" applyBorder="1" applyAlignment="1">
      <alignment horizontal="center" vertical="center"/>
    </xf>
    <xf numFmtId="3" fontId="4" fillId="5" borderId="12" xfId="0" applyNumberFormat="1" applyFont="1" applyFill="1" applyBorder="1" applyAlignment="1">
      <alignment horizontal="left" vertical="center" indent="1"/>
    </xf>
  </cellXfs>
  <cellStyles count="2">
    <cellStyle name="Good" xfId="1" builtinId="26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DAA9"/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2518-B1E3-498F-8277-B5D0DA9C220D}">
  <dimension ref="A1:R200"/>
  <sheetViews>
    <sheetView tabSelected="1" zoomScale="85" zoomScaleNormal="85" workbookViewId="0">
      <selection activeCell="B2" sqref="B2:C12"/>
    </sheetView>
  </sheetViews>
  <sheetFormatPr defaultRowHeight="15" customHeight="1" x14ac:dyDescent="0.45"/>
  <cols>
    <col min="1" max="1" width="1.73046875" style="5" customWidth="1"/>
    <col min="2" max="2" width="29.19921875" style="2" bestFit="1" customWidth="1"/>
    <col min="3" max="3" width="15.06640625" style="2" bestFit="1" customWidth="1"/>
    <col min="4" max="4" width="22.265625" style="2" bestFit="1" customWidth="1"/>
    <col min="5" max="14" width="13.6640625" style="2" customWidth="1"/>
    <col min="15" max="15" width="1.73046875" style="5" customWidth="1"/>
    <col min="16" max="16" width="14.46484375" style="2" customWidth="1"/>
    <col min="17" max="17" width="1.53125" style="2" customWidth="1"/>
    <col min="18" max="18" width="14.86328125" style="2" bestFit="1" customWidth="1"/>
    <col min="19" max="19" width="9.06640625" style="2" customWidth="1"/>
    <col min="20" max="16384" width="9.06640625" style="2"/>
  </cols>
  <sheetData>
    <row r="1" spans="1:15" ht="15" customHeight="1" x14ac:dyDescent="0.45">
      <c r="A1" s="9"/>
      <c r="B1" s="9"/>
      <c r="C1" s="9"/>
      <c r="D1" s="9"/>
      <c r="E1" s="9"/>
      <c r="F1" s="9"/>
      <c r="G1" s="9"/>
      <c r="H1" s="9"/>
      <c r="I1" s="9"/>
      <c r="J1" s="9"/>
      <c r="K1" s="78"/>
      <c r="L1" s="78"/>
      <c r="M1" s="78"/>
      <c r="N1" s="78"/>
    </row>
    <row r="2" spans="1:15" ht="60" customHeight="1" x14ac:dyDescent="0.45">
      <c r="A2" s="9"/>
      <c r="B2" s="106" t="s">
        <v>82</v>
      </c>
      <c r="C2" s="107"/>
      <c r="D2" s="112" t="s">
        <v>77</v>
      </c>
      <c r="E2" s="113"/>
      <c r="F2" s="9"/>
      <c r="G2" s="116" t="s">
        <v>71</v>
      </c>
      <c r="H2" s="112"/>
      <c r="I2" s="112"/>
      <c r="J2" s="5"/>
      <c r="K2" s="119" t="s">
        <v>72</v>
      </c>
      <c r="L2" s="119"/>
      <c r="M2" s="119"/>
      <c r="N2" s="119"/>
    </row>
    <row r="3" spans="1:15" ht="15" customHeight="1" x14ac:dyDescent="0.45">
      <c r="A3" s="9"/>
      <c r="B3" s="108"/>
      <c r="C3" s="109"/>
      <c r="D3" s="114"/>
      <c r="E3" s="115"/>
      <c r="F3" s="9"/>
      <c r="G3" s="117"/>
      <c r="H3" s="118"/>
      <c r="I3" s="118"/>
      <c r="J3" s="5"/>
      <c r="K3" s="79" t="s">
        <v>67</v>
      </c>
      <c r="L3" s="79" t="s">
        <v>65</v>
      </c>
      <c r="M3" s="79" t="s">
        <v>41</v>
      </c>
      <c r="N3" s="79" t="s">
        <v>42</v>
      </c>
      <c r="O3" s="10"/>
    </row>
    <row r="4" spans="1:15" ht="15" customHeight="1" x14ac:dyDescent="0.45">
      <c r="A4" s="10"/>
      <c r="B4" s="108"/>
      <c r="C4" s="109"/>
      <c r="D4" s="37" t="s">
        <v>2</v>
      </c>
      <c r="E4" s="38">
        <v>100000</v>
      </c>
      <c r="F4" s="10"/>
      <c r="G4" s="95" t="s">
        <v>43</v>
      </c>
      <c r="H4" s="94" t="s">
        <v>50</v>
      </c>
      <c r="I4" s="49">
        <f>I41</f>
        <v>0.32836799999999994</v>
      </c>
      <c r="J4" s="10"/>
      <c r="K4" s="84">
        <f>C151</f>
        <v>20000</v>
      </c>
      <c r="L4" s="85" t="s">
        <v>51</v>
      </c>
      <c r="M4" s="52">
        <f>I188</f>
        <v>559.14261914678411</v>
      </c>
      <c r="N4" s="80">
        <f t="shared" ref="N4:N11" si="0">M4*$I$16</f>
        <v>300720320</v>
      </c>
      <c r="O4" s="10"/>
    </row>
    <row r="5" spans="1:15" ht="15" customHeight="1" x14ac:dyDescent="0.45">
      <c r="A5" s="43"/>
      <c r="B5" s="108"/>
      <c r="C5" s="109"/>
      <c r="D5" s="20" t="s">
        <v>78</v>
      </c>
      <c r="E5" s="39">
        <v>0.01</v>
      </c>
      <c r="F5" s="43"/>
      <c r="G5" s="60" t="s">
        <v>46</v>
      </c>
      <c r="H5" s="81" t="s">
        <v>50</v>
      </c>
      <c r="I5" s="49">
        <f>I49</f>
        <v>0.20148122805973698</v>
      </c>
      <c r="J5" s="43"/>
      <c r="K5" s="84">
        <f>C151</f>
        <v>20000</v>
      </c>
      <c r="L5" s="82" t="s">
        <v>52</v>
      </c>
      <c r="M5" s="52">
        <f>I189</f>
        <v>1981.6475278157911</v>
      </c>
      <c r="N5" s="80">
        <f t="shared" si="0"/>
        <v>1065777600</v>
      </c>
      <c r="O5" s="43"/>
    </row>
    <row r="6" spans="1:15" ht="15" customHeight="1" x14ac:dyDescent="0.45">
      <c r="A6" s="43"/>
      <c r="B6" s="108"/>
      <c r="C6" s="109"/>
      <c r="D6" s="20" t="s">
        <v>83</v>
      </c>
      <c r="E6" s="40">
        <v>0.4</v>
      </c>
      <c r="F6" s="43"/>
      <c r="G6" s="60" t="s">
        <v>76</v>
      </c>
      <c r="H6" s="81" t="s">
        <v>50</v>
      </c>
      <c r="I6" s="49">
        <f>I61</f>
        <v>2.7E-2</v>
      </c>
      <c r="J6" s="43"/>
      <c r="K6" s="84">
        <f>C154</f>
        <v>400000</v>
      </c>
      <c r="L6" s="85" t="s">
        <v>51</v>
      </c>
      <c r="M6" s="32">
        <f>I191</f>
        <v>11182.852382935682</v>
      </c>
      <c r="N6" s="80">
        <f t="shared" si="0"/>
        <v>6014406400</v>
      </c>
      <c r="O6" s="43"/>
    </row>
    <row r="7" spans="1:15" ht="15" customHeight="1" x14ac:dyDescent="0.45">
      <c r="A7" s="10"/>
      <c r="B7" s="108"/>
      <c r="C7" s="109"/>
      <c r="D7" s="37" t="s">
        <v>36</v>
      </c>
      <c r="E7" s="41">
        <v>0.15</v>
      </c>
      <c r="F7" s="10"/>
      <c r="G7" s="60" t="s">
        <v>79</v>
      </c>
      <c r="H7" s="81" t="s">
        <v>50</v>
      </c>
      <c r="I7" s="49">
        <f>I121</f>
        <v>2.0351639197953235E-2</v>
      </c>
      <c r="J7" s="10"/>
      <c r="K7" s="84">
        <f>C154</f>
        <v>400000</v>
      </c>
      <c r="L7" s="82" t="s">
        <v>52</v>
      </c>
      <c r="M7" s="52">
        <f>I192</f>
        <v>39632.950556315816</v>
      </c>
      <c r="N7" s="80">
        <f t="shared" si="0"/>
        <v>21315551999.999996</v>
      </c>
      <c r="O7" s="10"/>
    </row>
    <row r="8" spans="1:15" ht="15" customHeight="1" x14ac:dyDescent="0.45">
      <c r="A8" s="10"/>
      <c r="B8" s="108"/>
      <c r="C8" s="109"/>
      <c r="D8" s="37" t="s">
        <v>35</v>
      </c>
      <c r="E8" s="41">
        <v>0.9</v>
      </c>
      <c r="F8" s="10"/>
      <c r="G8" s="93" t="s">
        <v>47</v>
      </c>
      <c r="H8" s="94" t="s">
        <v>50</v>
      </c>
      <c r="I8" s="49">
        <f>I76</f>
        <v>0.20812958886178379</v>
      </c>
      <c r="J8" s="10"/>
      <c r="K8" s="96">
        <f>C193</f>
        <v>1000000</v>
      </c>
      <c r="L8" s="97" t="s">
        <v>51</v>
      </c>
      <c r="M8" s="52">
        <f>I194</f>
        <v>27957.130957339203</v>
      </c>
      <c r="N8" s="80">
        <f t="shared" si="0"/>
        <v>15036016000</v>
      </c>
      <c r="O8" s="10"/>
    </row>
    <row r="9" spans="1:15" ht="15" customHeight="1" x14ac:dyDescent="0.45">
      <c r="A9" s="10"/>
      <c r="B9" s="108"/>
      <c r="C9" s="109"/>
      <c r="D9" s="37" t="s">
        <v>34</v>
      </c>
      <c r="E9" s="41">
        <v>0.1</v>
      </c>
      <c r="F9" s="10"/>
      <c r="G9" s="60" t="s">
        <v>48</v>
      </c>
      <c r="H9" s="81" t="s">
        <v>50</v>
      </c>
      <c r="I9" s="50">
        <f>I94</f>
        <v>3.2562622716725179E-2</v>
      </c>
      <c r="J9" s="9"/>
      <c r="K9" s="96">
        <f>C157</f>
        <v>1000000</v>
      </c>
      <c r="L9" s="98" t="s">
        <v>52</v>
      </c>
      <c r="M9" s="51">
        <f>I195</f>
        <v>99082.376390789563</v>
      </c>
      <c r="N9" s="80">
        <f t="shared" si="0"/>
        <v>53288880000.000008</v>
      </c>
      <c r="O9" s="10"/>
    </row>
    <row r="10" spans="1:15" ht="15" customHeight="1" x14ac:dyDescent="0.45">
      <c r="A10" s="10"/>
      <c r="B10" s="108"/>
      <c r="C10" s="109"/>
      <c r="D10" s="37" t="s">
        <v>40</v>
      </c>
      <c r="E10" s="42">
        <f>SUM(E8:E9)</f>
        <v>1</v>
      </c>
      <c r="F10" s="4"/>
      <c r="G10" s="83" t="s">
        <v>75</v>
      </c>
      <c r="H10" s="81" t="s">
        <v>50</v>
      </c>
      <c r="I10" s="50">
        <f>I106</f>
        <v>3.0000000000000001E-3</v>
      </c>
      <c r="J10" s="9"/>
      <c r="K10" s="96">
        <f>C160</f>
        <v>2100000</v>
      </c>
      <c r="L10" s="97" t="s">
        <v>51</v>
      </c>
      <c r="M10" s="52">
        <f>I197</f>
        <v>58709.975010412323</v>
      </c>
      <c r="N10" s="80">
        <f t="shared" si="0"/>
        <v>31575633599.999996</v>
      </c>
      <c r="O10" s="10"/>
    </row>
    <row r="11" spans="1:15" ht="15" customHeight="1" x14ac:dyDescent="0.45">
      <c r="A11" s="10"/>
      <c r="B11" s="108"/>
      <c r="C11" s="109"/>
      <c r="D11" s="37" t="s">
        <v>80</v>
      </c>
      <c r="E11" s="41">
        <v>0.1</v>
      </c>
      <c r="F11" s="4"/>
      <c r="G11" s="83" t="s">
        <v>74</v>
      </c>
      <c r="H11" s="81" t="s">
        <v>50</v>
      </c>
      <c r="I11" s="50">
        <f>I121</f>
        <v>2.0351639197953235E-2</v>
      </c>
      <c r="J11" s="9"/>
      <c r="K11" s="96">
        <f>C160</f>
        <v>2100000</v>
      </c>
      <c r="L11" s="98" t="s">
        <v>52</v>
      </c>
      <c r="M11" s="52">
        <f>I198</f>
        <v>208072.99042065805</v>
      </c>
      <c r="N11" s="80">
        <f t="shared" si="0"/>
        <v>111906648000</v>
      </c>
      <c r="O11" s="10"/>
    </row>
    <row r="12" spans="1:15" ht="15" customHeight="1" x14ac:dyDescent="0.45">
      <c r="A12" s="10"/>
      <c r="B12" s="110"/>
      <c r="C12" s="111"/>
      <c r="D12" s="37" t="s">
        <v>81</v>
      </c>
      <c r="E12" s="41">
        <v>0.5</v>
      </c>
      <c r="F12" s="4"/>
      <c r="G12" s="93" t="s">
        <v>49</v>
      </c>
      <c r="H12" s="94" t="s">
        <v>50</v>
      </c>
      <c r="I12" s="50">
        <f>I134</f>
        <v>5.5914261914678409E-2</v>
      </c>
      <c r="J12" s="9"/>
      <c r="K12" s="90"/>
      <c r="L12" s="91"/>
      <c r="M12" s="90"/>
      <c r="N12" s="91"/>
      <c r="O12" s="90"/>
    </row>
    <row r="13" spans="1:15" ht="15" customHeight="1" x14ac:dyDescent="0.45">
      <c r="A13" s="9"/>
      <c r="B13" s="11"/>
      <c r="C13" s="9"/>
      <c r="D13" s="11"/>
      <c r="E13" s="4"/>
      <c r="F13" s="4"/>
      <c r="G13" s="11"/>
      <c r="H13" s="11"/>
      <c r="I13" s="4"/>
      <c r="J13" s="9"/>
      <c r="K13" s="9"/>
      <c r="L13" s="9"/>
      <c r="M13" s="9"/>
      <c r="N13" s="9"/>
      <c r="O13" s="9"/>
    </row>
    <row r="14" spans="1:15" ht="15" customHeight="1" x14ac:dyDescent="0.45">
      <c r="B14" s="120" t="s">
        <v>66</v>
      </c>
      <c r="C14" s="120" t="s">
        <v>64</v>
      </c>
      <c r="D14" s="120" t="s">
        <v>65</v>
      </c>
      <c r="E14" s="121" t="s">
        <v>3</v>
      </c>
      <c r="F14" s="121" t="s">
        <v>4</v>
      </c>
      <c r="G14" s="121" t="s">
        <v>5</v>
      </c>
      <c r="H14" s="121" t="s">
        <v>6</v>
      </c>
      <c r="I14" s="121" t="s">
        <v>7</v>
      </c>
      <c r="J14" s="121" t="s">
        <v>8</v>
      </c>
      <c r="K14" s="121" t="s">
        <v>9</v>
      </c>
      <c r="L14" s="121" t="s">
        <v>10</v>
      </c>
      <c r="M14" s="121" t="s">
        <v>11</v>
      </c>
      <c r="N14" s="121" t="s">
        <v>12</v>
      </c>
    </row>
    <row r="15" spans="1:15" ht="15" customHeight="1" x14ac:dyDescent="0.45">
      <c r="B15" s="114"/>
      <c r="C15" s="114"/>
      <c r="D15" s="114"/>
      <c r="E15" s="122"/>
      <c r="F15" s="122"/>
      <c r="G15" s="122"/>
      <c r="H15" s="122"/>
      <c r="I15" s="122"/>
      <c r="J15" s="122"/>
      <c r="K15" s="122"/>
      <c r="L15" s="122"/>
      <c r="M15" s="122"/>
      <c r="N15" s="122"/>
    </row>
    <row r="16" spans="1:15" ht="15" customHeight="1" x14ac:dyDescent="0.45">
      <c r="B16" s="100" t="s">
        <v>20</v>
      </c>
      <c r="C16" s="100" t="s">
        <v>42</v>
      </c>
      <c r="D16" s="21" t="s">
        <v>62</v>
      </c>
      <c r="E16" s="23">
        <f>($E$4 * $E$6) + $E$4</f>
        <v>140000</v>
      </c>
      <c r="F16" s="23">
        <f t="shared" ref="F16:N16" si="1">(E16 * $E$6) + E16</f>
        <v>196000</v>
      </c>
      <c r="G16" s="23">
        <f t="shared" si="1"/>
        <v>274400</v>
      </c>
      <c r="H16" s="23">
        <f t="shared" si="1"/>
        <v>384160</v>
      </c>
      <c r="I16" s="23">
        <f t="shared" si="1"/>
        <v>537824</v>
      </c>
      <c r="J16" s="23">
        <f t="shared" si="1"/>
        <v>752953.6</v>
      </c>
      <c r="K16" s="23">
        <f t="shared" si="1"/>
        <v>1054135.04</v>
      </c>
      <c r="L16" s="23">
        <f t="shared" si="1"/>
        <v>1475789.0560000001</v>
      </c>
      <c r="M16" s="23">
        <f t="shared" si="1"/>
        <v>2066104.6784000001</v>
      </c>
      <c r="N16" s="23">
        <f t="shared" si="1"/>
        <v>2892546.5497600003</v>
      </c>
    </row>
    <row r="17" spans="1:15" ht="15" customHeight="1" x14ac:dyDescent="0.45">
      <c r="B17" s="102"/>
      <c r="C17" s="102"/>
      <c r="D17" s="21" t="s">
        <v>63</v>
      </c>
      <c r="E17" s="27">
        <f>E16*21000000</f>
        <v>2940000000000</v>
      </c>
      <c r="F17" s="27">
        <f t="shared" ref="F17:N17" si="2">F16*21000000</f>
        <v>4116000000000</v>
      </c>
      <c r="G17" s="27">
        <f t="shared" si="2"/>
        <v>5762400000000</v>
      </c>
      <c r="H17" s="27">
        <f t="shared" si="2"/>
        <v>8067360000000</v>
      </c>
      <c r="I17" s="27">
        <f t="shared" si="2"/>
        <v>11294304000000</v>
      </c>
      <c r="J17" s="27">
        <f t="shared" si="2"/>
        <v>15812025600000</v>
      </c>
      <c r="K17" s="27">
        <f t="shared" si="2"/>
        <v>22136835840000</v>
      </c>
      <c r="L17" s="27">
        <f t="shared" si="2"/>
        <v>30991570176000.004</v>
      </c>
      <c r="M17" s="27">
        <f t="shared" si="2"/>
        <v>43388198246400</v>
      </c>
      <c r="N17" s="27">
        <f t="shared" si="2"/>
        <v>60743477544960.008</v>
      </c>
    </row>
    <row r="18" spans="1:15" ht="15" customHeight="1" x14ac:dyDescent="0.45">
      <c r="B18" s="100" t="s">
        <v>16</v>
      </c>
      <c r="C18" s="103" t="s">
        <v>41</v>
      </c>
      <c r="D18" s="21" t="s">
        <v>53</v>
      </c>
      <c r="E18" s="28">
        <f t="shared" ref="E18:N18" si="3">(E16-$E$4)/E16</f>
        <v>0.2857142857142857</v>
      </c>
      <c r="F18" s="28">
        <f t="shared" si="3"/>
        <v>0.48979591836734693</v>
      </c>
      <c r="G18" s="28">
        <f t="shared" si="3"/>
        <v>0.63556851311953355</v>
      </c>
      <c r="H18" s="28">
        <f t="shared" si="3"/>
        <v>0.73969179508538108</v>
      </c>
      <c r="I18" s="28">
        <f t="shared" si="3"/>
        <v>0.81406556791812934</v>
      </c>
      <c r="J18" s="28">
        <f t="shared" si="3"/>
        <v>0.86718969137009239</v>
      </c>
      <c r="K18" s="28">
        <f t="shared" si="3"/>
        <v>0.90513549383578029</v>
      </c>
      <c r="L18" s="28">
        <f t="shared" si="3"/>
        <v>0.93223963845412883</v>
      </c>
      <c r="M18" s="28">
        <f t="shared" si="3"/>
        <v>0.95159974175294915</v>
      </c>
      <c r="N18" s="28">
        <f t="shared" si="3"/>
        <v>0.96542838696639222</v>
      </c>
    </row>
    <row r="19" spans="1:15" ht="15" customHeight="1" x14ac:dyDescent="0.45">
      <c r="B19" s="101"/>
      <c r="C19" s="104"/>
      <c r="D19" s="21" t="s">
        <v>54</v>
      </c>
      <c r="E19" s="28">
        <f>1-E18</f>
        <v>0.7142857142857143</v>
      </c>
      <c r="F19" s="28">
        <f t="shared" ref="F19:N19" si="4">1-F18</f>
        <v>0.51020408163265307</v>
      </c>
      <c r="G19" s="28">
        <f t="shared" si="4"/>
        <v>0.36443148688046645</v>
      </c>
      <c r="H19" s="28">
        <f t="shared" si="4"/>
        <v>0.26030820491461892</v>
      </c>
      <c r="I19" s="28">
        <f t="shared" si="4"/>
        <v>0.18593443208187066</v>
      </c>
      <c r="J19" s="28">
        <f t="shared" si="4"/>
        <v>0.13281030862990761</v>
      </c>
      <c r="K19" s="28">
        <f t="shared" si="4"/>
        <v>9.4864506164219708E-2</v>
      </c>
      <c r="L19" s="28">
        <f t="shared" si="4"/>
        <v>6.7760361545871173E-2</v>
      </c>
      <c r="M19" s="28">
        <f t="shared" si="4"/>
        <v>4.8400258247050854E-2</v>
      </c>
      <c r="N19" s="28">
        <f t="shared" si="4"/>
        <v>3.4571613033607784E-2</v>
      </c>
    </row>
    <row r="20" spans="1:15" ht="15" customHeight="1" x14ac:dyDescent="0.45">
      <c r="B20" s="101"/>
      <c r="C20" s="104"/>
      <c r="D20" s="21" t="s">
        <v>55</v>
      </c>
      <c r="E20" s="99">
        <f>E18</f>
        <v>0.2857142857142857</v>
      </c>
      <c r="F20" s="99">
        <f t="shared" ref="F20:N20" si="5">F18-E18</f>
        <v>0.20408163265306123</v>
      </c>
      <c r="G20" s="99">
        <f t="shared" si="5"/>
        <v>0.14577259475218662</v>
      </c>
      <c r="H20" s="99">
        <f t="shared" si="5"/>
        <v>0.10412328196584753</v>
      </c>
      <c r="I20" s="99">
        <f t="shared" si="5"/>
        <v>7.4373772832748264E-2</v>
      </c>
      <c r="J20" s="99">
        <f t="shared" si="5"/>
        <v>5.3124123451963046E-2</v>
      </c>
      <c r="K20" s="99">
        <f t="shared" si="5"/>
        <v>3.7945802465687906E-2</v>
      </c>
      <c r="L20" s="99">
        <f t="shared" si="5"/>
        <v>2.7104144618348536E-2</v>
      </c>
      <c r="M20" s="99">
        <f t="shared" si="5"/>
        <v>1.9360103298820319E-2</v>
      </c>
      <c r="N20" s="99">
        <f t="shared" si="5"/>
        <v>1.3828645213443069E-2</v>
      </c>
    </row>
    <row r="21" spans="1:15" ht="15" customHeight="1" x14ac:dyDescent="0.45">
      <c r="B21" s="101"/>
      <c r="C21" s="104"/>
      <c r="D21" s="21" t="s">
        <v>56</v>
      </c>
      <c r="E21" s="99"/>
      <c r="F21" s="99"/>
      <c r="G21" s="99"/>
      <c r="H21" s="99"/>
      <c r="I21" s="99">
        <f>SUM(E20:I20)/5</f>
        <v>0.16281311358362588</v>
      </c>
      <c r="J21" s="28"/>
      <c r="K21" s="28"/>
      <c r="L21" s="28"/>
      <c r="M21" s="28"/>
      <c r="N21" s="99">
        <f>SUM(E20:N20)/10</f>
        <v>9.6542838696639224E-2</v>
      </c>
    </row>
    <row r="22" spans="1:15" ht="15" customHeight="1" x14ac:dyDescent="0.45">
      <c r="B22" s="101"/>
      <c r="C22" s="104"/>
      <c r="D22" s="21" t="s">
        <v>84</v>
      </c>
      <c r="E22" s="99">
        <f>IF($E$12&gt;0,$E$12,0)*2*E20</f>
        <v>0.2857142857142857</v>
      </c>
      <c r="F22" s="99">
        <f t="shared" ref="F22:N22" si="6">IF($E$12&gt;0,$E$12,0)*2*F20</f>
        <v>0.20408163265306123</v>
      </c>
      <c r="G22" s="99">
        <f t="shared" si="6"/>
        <v>0.14577259475218662</v>
      </c>
      <c r="H22" s="99">
        <f t="shared" si="6"/>
        <v>0.10412328196584753</v>
      </c>
      <c r="I22" s="99">
        <f t="shared" si="6"/>
        <v>7.4373772832748264E-2</v>
      </c>
      <c r="J22" s="99">
        <f t="shared" si="6"/>
        <v>5.3124123451963046E-2</v>
      </c>
      <c r="K22" s="99">
        <f t="shared" si="6"/>
        <v>3.7945802465687906E-2</v>
      </c>
      <c r="L22" s="99">
        <f t="shared" si="6"/>
        <v>2.7104144618348536E-2</v>
      </c>
      <c r="M22" s="99">
        <f t="shared" si="6"/>
        <v>1.9360103298820319E-2</v>
      </c>
      <c r="N22" s="99">
        <f t="shared" si="6"/>
        <v>1.3828645213443069E-2</v>
      </c>
    </row>
    <row r="23" spans="1:15" ht="15" customHeight="1" x14ac:dyDescent="0.45">
      <c r="B23" s="101"/>
      <c r="C23" s="104"/>
      <c r="D23" s="21" t="s">
        <v>85</v>
      </c>
      <c r="E23" s="99"/>
      <c r="F23" s="99"/>
      <c r="G23" s="99"/>
      <c r="H23" s="99"/>
      <c r="I23" s="99">
        <f>SUM(E22:I22)/5</f>
        <v>0.16281311358362588</v>
      </c>
      <c r="J23" s="28"/>
      <c r="K23" s="28"/>
      <c r="L23" s="28"/>
      <c r="M23" s="28"/>
      <c r="N23" s="99">
        <f>SUM(E22:N22)/10</f>
        <v>9.6542838696639224E-2</v>
      </c>
    </row>
    <row r="24" spans="1:15" ht="15" customHeight="1" x14ac:dyDescent="0.45">
      <c r="B24" s="101"/>
      <c r="C24" s="104"/>
      <c r="D24" s="17" t="s">
        <v>86</v>
      </c>
      <c r="E24" s="19">
        <f>E20+E22</f>
        <v>0.5714285714285714</v>
      </c>
      <c r="F24" s="19">
        <f t="shared" ref="F24:N24" si="7">F20+F22</f>
        <v>0.40816326530612246</v>
      </c>
      <c r="G24" s="19">
        <f t="shared" si="7"/>
        <v>0.29154518950437325</v>
      </c>
      <c r="H24" s="19">
        <f t="shared" si="7"/>
        <v>0.20824656393169505</v>
      </c>
      <c r="I24" s="19">
        <f t="shared" si="7"/>
        <v>0.14874754566549653</v>
      </c>
      <c r="J24" s="19">
        <f t="shared" si="7"/>
        <v>0.10624824690392609</v>
      </c>
      <c r="K24" s="19">
        <f t="shared" si="7"/>
        <v>7.5891604931375811E-2</v>
      </c>
      <c r="L24" s="19">
        <f t="shared" si="7"/>
        <v>5.4208289236697071E-2</v>
      </c>
      <c r="M24" s="19">
        <f t="shared" si="7"/>
        <v>3.8720206597640638E-2</v>
      </c>
      <c r="N24" s="19">
        <f t="shared" si="7"/>
        <v>2.7657290426886139E-2</v>
      </c>
    </row>
    <row r="25" spans="1:15" ht="15" customHeight="1" x14ac:dyDescent="0.45">
      <c r="B25" s="102"/>
      <c r="C25" s="105"/>
      <c r="D25" s="17" t="s">
        <v>87</v>
      </c>
      <c r="E25" s="19"/>
      <c r="F25" s="19"/>
      <c r="G25" s="19"/>
      <c r="H25" s="19"/>
      <c r="I25" s="19">
        <f>SUM(E24:I24)/5</f>
        <v>0.32562622716725176</v>
      </c>
      <c r="J25" s="18"/>
      <c r="K25" s="18"/>
      <c r="L25" s="18"/>
      <c r="M25" s="18"/>
      <c r="N25" s="19">
        <f>SUM(E24:N24)/10</f>
        <v>0.19308567739327845</v>
      </c>
    </row>
    <row r="26" spans="1:15" ht="15" customHeight="1" x14ac:dyDescent="0.45">
      <c r="B26" s="100" t="s">
        <v>17</v>
      </c>
      <c r="C26" s="103" t="s">
        <v>41</v>
      </c>
      <c r="D26" s="17" t="s">
        <v>57</v>
      </c>
      <c r="E26" s="19">
        <f>(1+$E$12)*$E$5*2</f>
        <v>0.03</v>
      </c>
      <c r="F26" s="19">
        <f t="shared" ref="F26:N26" si="8">(1+$E$12)*$E$5*2</f>
        <v>0.03</v>
      </c>
      <c r="G26" s="19">
        <f t="shared" si="8"/>
        <v>0.03</v>
      </c>
      <c r="H26" s="19">
        <f t="shared" si="8"/>
        <v>0.03</v>
      </c>
      <c r="I26" s="19">
        <f t="shared" si="8"/>
        <v>0.03</v>
      </c>
      <c r="J26" s="19">
        <f t="shared" si="8"/>
        <v>0.03</v>
      </c>
      <c r="K26" s="19">
        <f t="shared" si="8"/>
        <v>0.03</v>
      </c>
      <c r="L26" s="19">
        <f t="shared" si="8"/>
        <v>0.03</v>
      </c>
      <c r="M26" s="19">
        <f t="shared" si="8"/>
        <v>0.03</v>
      </c>
      <c r="N26" s="19">
        <f t="shared" si="8"/>
        <v>0.03</v>
      </c>
    </row>
    <row r="27" spans="1:15" ht="15" customHeight="1" x14ac:dyDescent="0.45">
      <c r="B27" s="102"/>
      <c r="C27" s="105"/>
      <c r="D27" s="17" t="s">
        <v>58</v>
      </c>
      <c r="E27" s="19">
        <f>E26</f>
        <v>0.03</v>
      </c>
      <c r="F27" s="19">
        <f>E27+F26</f>
        <v>0.06</v>
      </c>
      <c r="G27" s="19">
        <f t="shared" ref="G27:N27" si="9">F27+G26</f>
        <v>0.09</v>
      </c>
      <c r="H27" s="19">
        <f t="shared" si="9"/>
        <v>0.12</v>
      </c>
      <c r="I27" s="19">
        <f t="shared" si="9"/>
        <v>0.15</v>
      </c>
      <c r="J27" s="19">
        <f t="shared" si="9"/>
        <v>0.18</v>
      </c>
      <c r="K27" s="19">
        <f t="shared" si="9"/>
        <v>0.21</v>
      </c>
      <c r="L27" s="19">
        <f t="shared" si="9"/>
        <v>0.24</v>
      </c>
      <c r="M27" s="19">
        <f t="shared" si="9"/>
        <v>0.27</v>
      </c>
      <c r="N27" s="19">
        <f t="shared" si="9"/>
        <v>0.30000000000000004</v>
      </c>
    </row>
    <row r="28" spans="1:15" ht="15" customHeight="1" x14ac:dyDescent="0.45">
      <c r="B28" s="4"/>
      <c r="C28" s="1"/>
      <c r="D28" s="53"/>
      <c r="E28" s="36"/>
      <c r="F28" s="36"/>
      <c r="G28" s="36"/>
      <c r="H28" s="36"/>
      <c r="I28" s="36"/>
      <c r="J28" s="36"/>
      <c r="K28" s="36"/>
      <c r="L28" s="36"/>
      <c r="M28" s="36"/>
      <c r="N28" s="36"/>
    </row>
    <row r="29" spans="1:15" ht="15" customHeight="1" x14ac:dyDescent="0.45">
      <c r="A29" s="9"/>
      <c r="B29" s="126" t="s">
        <v>37</v>
      </c>
      <c r="C29" s="54" t="s">
        <v>32</v>
      </c>
      <c r="D29" s="55">
        <f>E7</f>
        <v>0.15</v>
      </c>
      <c r="E29" s="121" t="s">
        <v>3</v>
      </c>
      <c r="F29" s="121" t="s">
        <v>4</v>
      </c>
      <c r="G29" s="121" t="s">
        <v>5</v>
      </c>
      <c r="H29" s="121" t="s">
        <v>6</v>
      </c>
      <c r="I29" s="121" t="s">
        <v>7</v>
      </c>
      <c r="J29" s="121" t="s">
        <v>8</v>
      </c>
      <c r="K29" s="121" t="s">
        <v>9</v>
      </c>
      <c r="L29" s="121" t="s">
        <v>10</v>
      </c>
      <c r="M29" s="121" t="s">
        <v>11</v>
      </c>
      <c r="N29" s="121" t="s">
        <v>12</v>
      </c>
      <c r="O29" s="9"/>
    </row>
    <row r="30" spans="1:15" ht="15" customHeight="1" x14ac:dyDescent="0.45">
      <c r="B30" s="127"/>
      <c r="C30" s="45" t="s">
        <v>21</v>
      </c>
      <c r="D30" s="33" t="str">
        <f>"10 BTC / "&amp;TEXT($E$4*10, "$###0.00,,")&amp;"M USD"</f>
        <v>10 BTC / $1.00M USD</v>
      </c>
      <c r="E30" s="122"/>
      <c r="F30" s="122"/>
      <c r="G30" s="122"/>
      <c r="H30" s="122"/>
      <c r="I30" s="122"/>
      <c r="J30" s="122"/>
      <c r="K30" s="122"/>
      <c r="L30" s="122"/>
      <c r="M30" s="122"/>
      <c r="N30" s="122"/>
    </row>
    <row r="31" spans="1:15" ht="15" customHeight="1" x14ac:dyDescent="0.45">
      <c r="B31" s="100" t="s">
        <v>16</v>
      </c>
      <c r="C31" s="123" t="s">
        <v>41</v>
      </c>
      <c r="D31" s="17" t="s">
        <v>55</v>
      </c>
      <c r="E31" s="18">
        <f>E37*$E$4/E$16</f>
        <v>0.10714285714285714</v>
      </c>
      <c r="F31" s="18">
        <f t="shared" ref="F31:N31" si="10">F37*$E$4/F$16</f>
        <v>7.6530612244897961E-2</v>
      </c>
      <c r="G31" s="18">
        <f t="shared" si="10"/>
        <v>5.466472303206997E-2</v>
      </c>
      <c r="H31" s="18">
        <f t="shared" si="10"/>
        <v>3.9046230737192836E-2</v>
      </c>
      <c r="I31" s="18">
        <f t="shared" si="10"/>
        <v>2.7890164812280599E-2</v>
      </c>
      <c r="J31" s="18">
        <f t="shared" si="10"/>
        <v>1.9921546294486142E-2</v>
      </c>
      <c r="K31" s="18">
        <f t="shared" si="10"/>
        <v>1.4229675924632958E-2</v>
      </c>
      <c r="L31" s="18">
        <f t="shared" si="10"/>
        <v>1.0164054231880684E-2</v>
      </c>
      <c r="M31" s="18">
        <f t="shared" si="10"/>
        <v>7.260038737057631E-3</v>
      </c>
      <c r="N31" s="18">
        <f t="shared" si="10"/>
        <v>5.1857419550411649E-3</v>
      </c>
    </row>
    <row r="32" spans="1:15" ht="15" customHeight="1" x14ac:dyDescent="0.45">
      <c r="B32" s="101"/>
      <c r="C32" s="123"/>
      <c r="D32" s="17" t="s">
        <v>56</v>
      </c>
      <c r="E32" s="18"/>
      <c r="F32" s="18"/>
      <c r="G32" s="18"/>
      <c r="H32" s="18"/>
      <c r="I32" s="19">
        <f>SUM(E31:I31)/5</f>
        <v>6.1054917593859705E-2</v>
      </c>
      <c r="J32" s="18"/>
      <c r="K32" s="18"/>
      <c r="L32" s="18"/>
      <c r="M32" s="18"/>
      <c r="N32" s="19">
        <f>SUM(E31:N31)/10</f>
        <v>3.6203564511239711E-2</v>
      </c>
    </row>
    <row r="33" spans="1:18" ht="15" customHeight="1" x14ac:dyDescent="0.45">
      <c r="B33" s="101"/>
      <c r="C33" s="123"/>
      <c r="D33" s="17" t="s">
        <v>86</v>
      </c>
      <c r="E33" s="18">
        <f>E31+IF($E$12&gt;0,E31*$E$12,0)</f>
        <v>0.1607142857142857</v>
      </c>
      <c r="F33" s="18">
        <f t="shared" ref="F33:N33" si="11">F31+IF($E$12&gt;0,F31*$E$12,0)</f>
        <v>0.11479591836734694</v>
      </c>
      <c r="G33" s="18">
        <f t="shared" si="11"/>
        <v>8.1997084548104948E-2</v>
      </c>
      <c r="H33" s="18">
        <f t="shared" si="11"/>
        <v>5.8569346105789254E-2</v>
      </c>
      <c r="I33" s="18">
        <f t="shared" si="11"/>
        <v>4.1835247218420898E-2</v>
      </c>
      <c r="J33" s="18">
        <f t="shared" si="11"/>
        <v>2.9882319441729213E-2</v>
      </c>
      <c r="K33" s="18">
        <f t="shared" si="11"/>
        <v>2.1344513886949436E-2</v>
      </c>
      <c r="L33" s="18">
        <f t="shared" si="11"/>
        <v>1.5246081347821025E-2</v>
      </c>
      <c r="M33" s="18">
        <f t="shared" si="11"/>
        <v>1.0890058105586447E-2</v>
      </c>
      <c r="N33" s="18">
        <f t="shared" si="11"/>
        <v>7.7786129325617473E-3</v>
      </c>
    </row>
    <row r="34" spans="1:18" ht="15" customHeight="1" x14ac:dyDescent="0.45">
      <c r="B34" s="101"/>
      <c r="C34" s="123"/>
      <c r="D34" s="17" t="s">
        <v>53</v>
      </c>
      <c r="E34" s="18">
        <f t="shared" ref="E34:N34" si="12">E$18*(E31/E$20)</f>
        <v>0.10714285714285714</v>
      </c>
      <c r="F34" s="18">
        <f t="shared" si="12"/>
        <v>0.18367346938775508</v>
      </c>
      <c r="G34" s="18">
        <f t="shared" si="12"/>
        <v>0.23833819241982501</v>
      </c>
      <c r="H34" s="18">
        <f t="shared" si="12"/>
        <v>0.277384423157018</v>
      </c>
      <c r="I34" s="18">
        <f t="shared" si="12"/>
        <v>0.30527458796929852</v>
      </c>
      <c r="J34" s="18">
        <f t="shared" si="12"/>
        <v>0.32519613426378463</v>
      </c>
      <c r="K34" s="18">
        <f t="shared" si="12"/>
        <v>0.33942581018841744</v>
      </c>
      <c r="L34" s="18">
        <f t="shared" si="12"/>
        <v>0.34958986442029771</v>
      </c>
      <c r="M34" s="18">
        <f t="shared" si="12"/>
        <v>0.35684990315735649</v>
      </c>
      <c r="N34" s="18">
        <f t="shared" si="12"/>
        <v>0.36203564511239805</v>
      </c>
    </row>
    <row r="35" spans="1:18" ht="15" customHeight="1" x14ac:dyDescent="0.45">
      <c r="B35" s="101"/>
      <c r="C35" s="124"/>
      <c r="D35" s="21" t="s">
        <v>59</v>
      </c>
      <c r="E35" s="22">
        <f>10*E31</f>
        <v>1.0714285714285714</v>
      </c>
      <c r="F35" s="22">
        <f t="shared" ref="F35:N35" si="13">10*F31</f>
        <v>0.76530612244897966</v>
      </c>
      <c r="G35" s="22">
        <f t="shared" si="13"/>
        <v>0.54664723032069973</v>
      </c>
      <c r="H35" s="22">
        <f t="shared" si="13"/>
        <v>0.39046230737192833</v>
      </c>
      <c r="I35" s="22">
        <f t="shared" si="13"/>
        <v>0.27890164812280599</v>
      </c>
      <c r="J35" s="22">
        <f t="shared" si="13"/>
        <v>0.19921546294486142</v>
      </c>
      <c r="K35" s="22">
        <f t="shared" si="13"/>
        <v>0.14229675924632956</v>
      </c>
      <c r="L35" s="22">
        <f t="shared" si="13"/>
        <v>0.10164054231880684</v>
      </c>
      <c r="M35" s="22">
        <f t="shared" si="13"/>
        <v>7.2600387370576308E-2</v>
      </c>
      <c r="N35" s="22">
        <f t="shared" si="13"/>
        <v>5.1857419550411649E-2</v>
      </c>
      <c r="R35" s="13"/>
    </row>
    <row r="36" spans="1:18" ht="15" customHeight="1" x14ac:dyDescent="0.45">
      <c r="B36" s="101"/>
      <c r="C36" s="124"/>
      <c r="D36" s="21" t="s">
        <v>60</v>
      </c>
      <c r="E36" s="22">
        <f>10*E34</f>
        <v>1.0714285714285714</v>
      </c>
      <c r="F36" s="22">
        <f>10*F34</f>
        <v>1.8367346938775508</v>
      </c>
      <c r="G36" s="22">
        <f>10*G34</f>
        <v>2.3833819241982503</v>
      </c>
      <c r="H36" s="22">
        <f t="shared" ref="H36:N36" si="14">10*H34</f>
        <v>2.7738442315701799</v>
      </c>
      <c r="I36" s="22">
        <f t="shared" si="14"/>
        <v>3.0527458796929849</v>
      </c>
      <c r="J36" s="22">
        <f t="shared" si="14"/>
        <v>3.2519613426378462</v>
      </c>
      <c r="K36" s="22">
        <f t="shared" si="14"/>
        <v>3.3942581018841746</v>
      </c>
      <c r="L36" s="22">
        <f t="shared" si="14"/>
        <v>3.4958986442029771</v>
      </c>
      <c r="M36" s="22">
        <f t="shared" si="14"/>
        <v>3.5684990315735647</v>
      </c>
      <c r="N36" s="22">
        <f t="shared" si="14"/>
        <v>3.6203564511239805</v>
      </c>
      <c r="R36" s="13"/>
    </row>
    <row r="37" spans="1:18" ht="15" customHeight="1" x14ac:dyDescent="0.45">
      <c r="B37" s="101"/>
      <c r="C37" s="125" t="s">
        <v>45</v>
      </c>
      <c r="D37" s="17" t="s">
        <v>55</v>
      </c>
      <c r="E37" s="18">
        <f>$D$29</f>
        <v>0.15</v>
      </c>
      <c r="F37" s="18">
        <f t="shared" ref="F37:N37" si="15">$D$29</f>
        <v>0.15</v>
      </c>
      <c r="G37" s="18">
        <f t="shared" si="15"/>
        <v>0.15</v>
      </c>
      <c r="H37" s="18">
        <f t="shared" si="15"/>
        <v>0.15</v>
      </c>
      <c r="I37" s="18">
        <f t="shared" si="15"/>
        <v>0.15</v>
      </c>
      <c r="J37" s="18">
        <f t="shared" si="15"/>
        <v>0.15</v>
      </c>
      <c r="K37" s="18">
        <f t="shared" si="15"/>
        <v>0.15</v>
      </c>
      <c r="L37" s="18">
        <f t="shared" si="15"/>
        <v>0.15</v>
      </c>
      <c r="M37" s="18">
        <f t="shared" si="15"/>
        <v>0.15</v>
      </c>
      <c r="N37" s="18">
        <f t="shared" si="15"/>
        <v>0.15</v>
      </c>
    </row>
    <row r="38" spans="1:18" ht="15" customHeight="1" x14ac:dyDescent="0.45">
      <c r="B38" s="101"/>
      <c r="C38" s="124"/>
      <c r="D38" s="21" t="s">
        <v>59</v>
      </c>
      <c r="E38" s="23">
        <f>E35*E$16</f>
        <v>150000</v>
      </c>
      <c r="F38" s="23">
        <f t="shared" ref="F38:N38" si="16">F35*F$16</f>
        <v>150000</v>
      </c>
      <c r="G38" s="23">
        <f t="shared" si="16"/>
        <v>150000</v>
      </c>
      <c r="H38" s="23">
        <f t="shared" si="16"/>
        <v>150000</v>
      </c>
      <c r="I38" s="23">
        <f t="shared" si="16"/>
        <v>150000</v>
      </c>
      <c r="J38" s="23">
        <f t="shared" si="16"/>
        <v>150000</v>
      </c>
      <c r="K38" s="23">
        <f t="shared" si="16"/>
        <v>150000</v>
      </c>
      <c r="L38" s="23">
        <f t="shared" si="16"/>
        <v>150000</v>
      </c>
      <c r="M38" s="23">
        <f t="shared" si="16"/>
        <v>150000</v>
      </c>
      <c r="N38" s="23">
        <f t="shared" si="16"/>
        <v>150000</v>
      </c>
    </row>
    <row r="39" spans="1:18" ht="15" customHeight="1" x14ac:dyDescent="0.45">
      <c r="B39" s="101"/>
      <c r="C39" s="124"/>
      <c r="D39" s="21" t="s">
        <v>60</v>
      </c>
      <c r="E39" s="23">
        <f>E38</f>
        <v>150000</v>
      </c>
      <c r="F39" s="23">
        <f>E39+F38</f>
        <v>300000</v>
      </c>
      <c r="G39" s="23">
        <f t="shared" ref="G39:N39" si="17">F39+G38</f>
        <v>450000</v>
      </c>
      <c r="H39" s="23">
        <f t="shared" si="17"/>
        <v>600000</v>
      </c>
      <c r="I39" s="23">
        <f t="shared" si="17"/>
        <v>750000</v>
      </c>
      <c r="J39" s="23">
        <f t="shared" si="17"/>
        <v>900000</v>
      </c>
      <c r="K39" s="23">
        <f t="shared" si="17"/>
        <v>1050000</v>
      </c>
      <c r="L39" s="23">
        <f t="shared" si="17"/>
        <v>1200000</v>
      </c>
      <c r="M39" s="23">
        <f t="shared" si="17"/>
        <v>1350000</v>
      </c>
      <c r="N39" s="23">
        <f t="shared" si="17"/>
        <v>1500000</v>
      </c>
    </row>
    <row r="40" spans="1:18" ht="15" customHeight="1" x14ac:dyDescent="0.45">
      <c r="B40" s="101"/>
      <c r="C40" s="125" t="s">
        <v>44</v>
      </c>
      <c r="D40" s="17" t="s">
        <v>55</v>
      </c>
      <c r="E40" s="18">
        <f>E34*E$16/$E$4</f>
        <v>0.15</v>
      </c>
      <c r="F40" s="18">
        <f>F34*F$16/$E$4-E40</f>
        <v>0.21</v>
      </c>
      <c r="G40" s="18">
        <f>G34*G$16/$E$4-F40-E40</f>
        <v>0.29399999999999982</v>
      </c>
      <c r="H40" s="18">
        <f>H34*H$16/$E$4-G40-F40-E40</f>
        <v>0.41160000000000052</v>
      </c>
      <c r="I40" s="18">
        <f>I34*I$16/$E$4-H40-G40-F40-E40</f>
        <v>0.57623999999999953</v>
      </c>
      <c r="J40" s="18">
        <f>J34*J$16/$E$4-I40-H40-G40-F40-E40</f>
        <v>0.80673600000000001</v>
      </c>
      <c r="K40" s="18">
        <f>K34*K$16/$E$4-J40-I40-H40-G40-F40-E40</f>
        <v>1.1294303999999988</v>
      </c>
      <c r="L40" s="18">
        <f>L34*L$16/$E$4-K40-J40-I40-H40-G40-F40-E40</f>
        <v>1.5812025599999939</v>
      </c>
      <c r="M40" s="18">
        <f>M34*M$16/$E$4-L40-K40-J40-I40-H40-G40-F40-E40</f>
        <v>2.2136835840000191</v>
      </c>
      <c r="N40" s="18">
        <f>N34*N$16/$E$4-M40-L40-K40-J40-I40-H40-G40-F40-E40</f>
        <v>3.0991570176000169</v>
      </c>
      <c r="R40" s="16"/>
    </row>
    <row r="41" spans="1:18" ht="15" customHeight="1" x14ac:dyDescent="0.45">
      <c r="B41" s="101"/>
      <c r="C41" s="123"/>
      <c r="D41" s="17" t="s">
        <v>56</v>
      </c>
      <c r="E41" s="19"/>
      <c r="F41" s="19"/>
      <c r="G41" s="19"/>
      <c r="H41" s="19"/>
      <c r="I41" s="44">
        <f>SUM(E40:I40)/5</f>
        <v>0.32836799999999994</v>
      </c>
      <c r="J41" s="19"/>
      <c r="K41" s="19"/>
      <c r="L41" s="19"/>
      <c r="M41" s="19"/>
      <c r="N41" s="19">
        <f>SUM(E40:N40)/10</f>
        <v>1.047204956160003</v>
      </c>
    </row>
    <row r="42" spans="1:18" ht="15" customHeight="1" x14ac:dyDescent="0.45">
      <c r="B42" s="101"/>
      <c r="C42" s="124"/>
      <c r="D42" s="21" t="s">
        <v>59</v>
      </c>
      <c r="E42" s="24">
        <f>E44</f>
        <v>150000</v>
      </c>
      <c r="F42" s="24">
        <f>F44-E44</f>
        <v>209999.99999999994</v>
      </c>
      <c r="G42" s="24">
        <f t="shared" ref="G42:N42" si="18">G44-F44</f>
        <v>293999.99999999994</v>
      </c>
      <c r="H42" s="24">
        <f t="shared" si="18"/>
        <v>411600.00000000035</v>
      </c>
      <c r="I42" s="24">
        <f t="shared" si="18"/>
        <v>576239.99999999977</v>
      </c>
      <c r="J42" s="24">
        <f t="shared" si="18"/>
        <v>806735.99999999953</v>
      </c>
      <c r="K42" s="24">
        <f t="shared" si="18"/>
        <v>1129430.399999999</v>
      </c>
      <c r="L42" s="24">
        <f t="shared" si="18"/>
        <v>1581202.5599999931</v>
      </c>
      <c r="M42" s="24">
        <f t="shared" si="18"/>
        <v>2213683.5840000203</v>
      </c>
      <c r="N42" s="24">
        <f t="shared" si="18"/>
        <v>3099157.0176000176</v>
      </c>
    </row>
    <row r="43" spans="1:18" ht="15" customHeight="1" x14ac:dyDescent="0.45">
      <c r="B43" s="101"/>
      <c r="C43" s="124"/>
      <c r="D43" s="21" t="s">
        <v>61</v>
      </c>
      <c r="E43" s="24"/>
      <c r="F43" s="24"/>
      <c r="G43" s="24"/>
      <c r="H43" s="24"/>
      <c r="I43" s="24">
        <f>SUM(E42:I42)/5</f>
        <v>328368</v>
      </c>
      <c r="J43" s="24"/>
      <c r="K43" s="24"/>
      <c r="L43" s="24"/>
      <c r="M43" s="24"/>
      <c r="N43" s="24">
        <f>SUM(E42:N42)/10</f>
        <v>1047204.956160003</v>
      </c>
    </row>
    <row r="44" spans="1:18" ht="15" customHeight="1" x14ac:dyDescent="0.45">
      <c r="B44" s="102"/>
      <c r="C44" s="124"/>
      <c r="D44" s="21" t="s">
        <v>60</v>
      </c>
      <c r="E44" s="23">
        <f t="shared" ref="E44:N44" si="19">E36*E$16</f>
        <v>150000</v>
      </c>
      <c r="F44" s="23">
        <f t="shared" si="19"/>
        <v>359999.99999999994</v>
      </c>
      <c r="G44" s="23">
        <f t="shared" si="19"/>
        <v>653999.99999999988</v>
      </c>
      <c r="H44" s="23">
        <f t="shared" si="19"/>
        <v>1065600.0000000002</v>
      </c>
      <c r="I44" s="23">
        <f t="shared" si="19"/>
        <v>1641840</v>
      </c>
      <c r="J44" s="23">
        <f t="shared" si="19"/>
        <v>2448575.9999999995</v>
      </c>
      <c r="K44" s="23">
        <f t="shared" si="19"/>
        <v>3578006.3999999985</v>
      </c>
      <c r="L44" s="23">
        <f t="shared" si="19"/>
        <v>5159208.9599999916</v>
      </c>
      <c r="M44" s="23">
        <f t="shared" si="19"/>
        <v>7372892.5440000119</v>
      </c>
      <c r="N44" s="23">
        <f t="shared" si="19"/>
        <v>10472049.561600029</v>
      </c>
    </row>
    <row r="45" spans="1:18" ht="15" customHeight="1" x14ac:dyDescent="0.45">
      <c r="A45" s="9"/>
      <c r="B45" s="4"/>
      <c r="C45" s="1"/>
      <c r="D45" s="53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9"/>
    </row>
    <row r="46" spans="1:18" ht="15" customHeight="1" x14ac:dyDescent="0.45">
      <c r="B46" s="128" t="s">
        <v>38</v>
      </c>
      <c r="C46" s="56" t="s">
        <v>33</v>
      </c>
      <c r="D46" s="57">
        <f>E8</f>
        <v>0.9</v>
      </c>
      <c r="E46" s="121" t="s">
        <v>3</v>
      </c>
      <c r="F46" s="121" t="s">
        <v>4</v>
      </c>
      <c r="G46" s="121" t="s">
        <v>5</v>
      </c>
      <c r="H46" s="121" t="s">
        <v>6</v>
      </c>
      <c r="I46" s="121" t="s">
        <v>7</v>
      </c>
      <c r="J46" s="121" t="s">
        <v>8</v>
      </c>
      <c r="K46" s="121" t="s">
        <v>9</v>
      </c>
      <c r="L46" s="121" t="s">
        <v>10</v>
      </c>
      <c r="M46" s="121" t="s">
        <v>11</v>
      </c>
      <c r="N46" s="121" t="s">
        <v>12</v>
      </c>
    </row>
    <row r="47" spans="1:18" ht="15" customHeight="1" x14ac:dyDescent="0.45">
      <c r="B47" s="129"/>
      <c r="C47" s="46" t="s">
        <v>21</v>
      </c>
      <c r="D47" s="34" t="str">
        <f>"10 BTC / "&amp;TEXT($E$4*10, "$###0.00,,")&amp;"M USD"</f>
        <v>10 BTC / $1.00M USD</v>
      </c>
      <c r="E47" s="122"/>
      <c r="F47" s="122"/>
      <c r="G47" s="122"/>
      <c r="H47" s="122"/>
      <c r="I47" s="122"/>
      <c r="J47" s="122"/>
      <c r="K47" s="122"/>
      <c r="L47" s="122"/>
      <c r="M47" s="122"/>
      <c r="N47" s="122"/>
    </row>
    <row r="48" spans="1:18" ht="15" customHeight="1" x14ac:dyDescent="0.45">
      <c r="B48" s="124" t="s">
        <v>16</v>
      </c>
      <c r="C48" s="123" t="s">
        <v>41</v>
      </c>
      <c r="D48" s="17" t="s">
        <v>86</v>
      </c>
      <c r="E48" s="18">
        <f>E$24*$D46-E33</f>
        <v>0.35357142857142854</v>
      </c>
      <c r="F48" s="18">
        <f t="shared" ref="F48:N48" si="20">F$24*$D46-F33</f>
        <v>0.2525510204081633</v>
      </c>
      <c r="G48" s="18">
        <f t="shared" si="20"/>
        <v>0.180393586005831</v>
      </c>
      <c r="H48" s="18">
        <f t="shared" si="20"/>
        <v>0.1288525614327363</v>
      </c>
      <c r="I48" s="18">
        <f t="shared" si="20"/>
        <v>9.2037543880525971E-2</v>
      </c>
      <c r="J48" s="18">
        <f t="shared" si="20"/>
        <v>6.5741102771804269E-2</v>
      </c>
      <c r="K48" s="18">
        <f t="shared" si="20"/>
        <v>4.6957930551288787E-2</v>
      </c>
      <c r="L48" s="18">
        <f t="shared" si="20"/>
        <v>3.3541378965206342E-2</v>
      </c>
      <c r="M48" s="18">
        <f t="shared" si="20"/>
        <v>2.3958127832290132E-2</v>
      </c>
      <c r="N48" s="18">
        <f t="shared" si="20"/>
        <v>1.7112948451635777E-2</v>
      </c>
      <c r="R48" s="13"/>
    </row>
    <row r="49" spans="2:18" ht="15" customHeight="1" x14ac:dyDescent="0.45">
      <c r="B49" s="124"/>
      <c r="C49" s="123"/>
      <c r="D49" s="17" t="s">
        <v>87</v>
      </c>
      <c r="E49" s="18"/>
      <c r="F49" s="18"/>
      <c r="G49" s="18"/>
      <c r="H49" s="18"/>
      <c r="I49" s="44">
        <f>SUM(E48:I48)/5</f>
        <v>0.20148122805973698</v>
      </c>
      <c r="J49" s="18"/>
      <c r="K49" s="18"/>
      <c r="L49" s="18"/>
      <c r="M49" s="18"/>
      <c r="N49" s="19">
        <f>SUM(E48:N48)/10</f>
        <v>0.11947176288709102</v>
      </c>
      <c r="R49" s="13"/>
    </row>
    <row r="50" spans="2:18" ht="15" customHeight="1" x14ac:dyDescent="0.45">
      <c r="B50" s="124"/>
      <c r="C50" s="123"/>
      <c r="D50" s="17" t="s">
        <v>53</v>
      </c>
      <c r="E50" s="18">
        <f t="shared" ref="E50:N50" si="21">E$18*(E48/E$20)</f>
        <v>0.35357142857142859</v>
      </c>
      <c r="F50" s="18">
        <f t="shared" si="21"/>
        <v>0.60612244897959189</v>
      </c>
      <c r="G50" s="18">
        <f t="shared" si="21"/>
        <v>0.78651603498542288</v>
      </c>
      <c r="H50" s="18">
        <f t="shared" si="21"/>
        <v>0.91536859641815893</v>
      </c>
      <c r="I50" s="18">
        <f t="shared" si="21"/>
        <v>1.0074061402986849</v>
      </c>
      <c r="J50" s="18">
        <f t="shared" si="21"/>
        <v>1.0731472430704894</v>
      </c>
      <c r="K50" s="18">
        <f t="shared" si="21"/>
        <v>1.1201051736217782</v>
      </c>
      <c r="L50" s="18">
        <f t="shared" si="21"/>
        <v>1.1536465525869855</v>
      </c>
      <c r="M50" s="18">
        <f t="shared" si="21"/>
        <v>1.1776046804192739</v>
      </c>
      <c r="N50" s="18">
        <f t="shared" si="21"/>
        <v>1.1947176288709089</v>
      </c>
    </row>
    <row r="51" spans="2:18" ht="15" customHeight="1" x14ac:dyDescent="0.45">
      <c r="B51" s="124"/>
      <c r="C51" s="124"/>
      <c r="D51" s="21" t="s">
        <v>59</v>
      </c>
      <c r="E51" s="22">
        <f>10*E48</f>
        <v>3.5357142857142856</v>
      </c>
      <c r="F51" s="22">
        <f t="shared" ref="F51:N51" si="22">10*F48</f>
        <v>2.5255102040816331</v>
      </c>
      <c r="G51" s="22">
        <f t="shared" si="22"/>
        <v>1.80393586005831</v>
      </c>
      <c r="H51" s="22">
        <f t="shared" si="22"/>
        <v>1.2885256143273629</v>
      </c>
      <c r="I51" s="22">
        <f t="shared" si="22"/>
        <v>0.92037543880525974</v>
      </c>
      <c r="J51" s="22">
        <f t="shared" si="22"/>
        <v>0.65741102771804272</v>
      </c>
      <c r="K51" s="22">
        <f t="shared" si="22"/>
        <v>0.46957930551288785</v>
      </c>
      <c r="L51" s="22">
        <f t="shared" si="22"/>
        <v>0.33541378965206342</v>
      </c>
      <c r="M51" s="22">
        <f t="shared" si="22"/>
        <v>0.23958127832290133</v>
      </c>
      <c r="N51" s="22">
        <f t="shared" si="22"/>
        <v>0.17112948451635776</v>
      </c>
      <c r="R51" s="13"/>
    </row>
    <row r="52" spans="2:18" ht="15" customHeight="1" x14ac:dyDescent="0.45">
      <c r="B52" s="124"/>
      <c r="C52" s="124"/>
      <c r="D52" s="21" t="s">
        <v>60</v>
      </c>
      <c r="E52" s="22">
        <f>10*E50</f>
        <v>3.535714285714286</v>
      </c>
      <c r="F52" s="22">
        <f>10*F50</f>
        <v>6.0612244897959187</v>
      </c>
      <c r="G52" s="22">
        <f>10*G50</f>
        <v>7.8651603498542286</v>
      </c>
      <c r="H52" s="22">
        <f t="shared" ref="H52:N52" si="23">10*H50</f>
        <v>9.1536859641815891</v>
      </c>
      <c r="I52" s="22">
        <f t="shared" si="23"/>
        <v>10.07406140298685</v>
      </c>
      <c r="J52" s="22">
        <f t="shared" si="23"/>
        <v>10.731472430704894</v>
      </c>
      <c r="K52" s="22">
        <f t="shared" si="23"/>
        <v>11.201051736217781</v>
      </c>
      <c r="L52" s="22">
        <f t="shared" si="23"/>
        <v>11.536465525869854</v>
      </c>
      <c r="M52" s="22">
        <f t="shared" si="23"/>
        <v>11.776046804192738</v>
      </c>
      <c r="N52" s="22">
        <f t="shared" si="23"/>
        <v>11.947176288709089</v>
      </c>
    </row>
    <row r="53" spans="2:18" ht="15" customHeight="1" x14ac:dyDescent="0.45">
      <c r="B53" s="124"/>
      <c r="C53" s="125" t="s">
        <v>45</v>
      </c>
      <c r="D53" s="17" t="s">
        <v>55</v>
      </c>
      <c r="E53" s="18">
        <f>E48*E$16/$E$4</f>
        <v>0.49499999999999994</v>
      </c>
      <c r="F53" s="18">
        <f t="shared" ref="F53:N53" si="24">F48*F$16/$E$4</f>
        <v>0.49500000000000005</v>
      </c>
      <c r="G53" s="18">
        <f t="shared" si="24"/>
        <v>0.49500000000000027</v>
      </c>
      <c r="H53" s="18">
        <f t="shared" si="24"/>
        <v>0.49499999999999977</v>
      </c>
      <c r="I53" s="18">
        <f t="shared" si="24"/>
        <v>0.495</v>
      </c>
      <c r="J53" s="18">
        <f t="shared" si="24"/>
        <v>0.495</v>
      </c>
      <c r="K53" s="18">
        <f t="shared" si="24"/>
        <v>0.49500000000000027</v>
      </c>
      <c r="L53" s="18">
        <f t="shared" si="24"/>
        <v>0.49500000000000133</v>
      </c>
      <c r="M53" s="18">
        <f t="shared" si="24"/>
        <v>0.49499999999999889</v>
      </c>
      <c r="N53" s="18">
        <f t="shared" si="24"/>
        <v>0.49499999999999805</v>
      </c>
      <c r="R53" s="13"/>
    </row>
    <row r="54" spans="2:18" ht="15" customHeight="1" x14ac:dyDescent="0.45">
      <c r="B54" s="124"/>
      <c r="C54" s="124"/>
      <c r="D54" s="21" t="s">
        <v>59</v>
      </c>
      <c r="E54" s="23">
        <f t="shared" ref="E54:N54" si="25">E51*E$16</f>
        <v>495000</v>
      </c>
      <c r="F54" s="23">
        <f t="shared" si="25"/>
        <v>495000.00000000006</v>
      </c>
      <c r="G54" s="23">
        <f t="shared" si="25"/>
        <v>495000.00000000023</v>
      </c>
      <c r="H54" s="23">
        <f t="shared" si="25"/>
        <v>494999.99999999971</v>
      </c>
      <c r="I54" s="23">
        <f t="shared" si="25"/>
        <v>495000</v>
      </c>
      <c r="J54" s="23">
        <f t="shared" si="25"/>
        <v>495000.00000000006</v>
      </c>
      <c r="K54" s="23">
        <f t="shared" si="25"/>
        <v>495000.00000000029</v>
      </c>
      <c r="L54" s="23">
        <f t="shared" si="25"/>
        <v>495000.00000000128</v>
      </c>
      <c r="M54" s="23">
        <f t="shared" si="25"/>
        <v>494999.99999999895</v>
      </c>
      <c r="N54" s="23">
        <f t="shared" si="25"/>
        <v>494999.99999999802</v>
      </c>
      <c r="R54" s="13"/>
    </row>
    <row r="55" spans="2:18" ht="15" customHeight="1" x14ac:dyDescent="0.45">
      <c r="B55" s="124"/>
      <c r="C55" s="124"/>
      <c r="D55" s="21" t="s">
        <v>60</v>
      </c>
      <c r="E55" s="23">
        <f>E54</f>
        <v>495000</v>
      </c>
      <c r="F55" s="23">
        <f>E55+F54</f>
        <v>990000</v>
      </c>
      <c r="G55" s="23">
        <f t="shared" ref="G55:N55" si="26">F55+G54</f>
        <v>1485000.0000000002</v>
      </c>
      <c r="H55" s="23">
        <f t="shared" si="26"/>
        <v>1980000</v>
      </c>
      <c r="I55" s="23">
        <f t="shared" si="26"/>
        <v>2475000</v>
      </c>
      <c r="J55" s="23">
        <f t="shared" si="26"/>
        <v>2970000</v>
      </c>
      <c r="K55" s="23">
        <f t="shared" si="26"/>
        <v>3465000.0000000005</v>
      </c>
      <c r="L55" s="23">
        <f t="shared" si="26"/>
        <v>3960000.0000000019</v>
      </c>
      <c r="M55" s="23">
        <f t="shared" si="26"/>
        <v>4455000.0000000009</v>
      </c>
      <c r="N55" s="23">
        <f t="shared" si="26"/>
        <v>4949999.9999999991</v>
      </c>
      <c r="R55" s="13"/>
    </row>
    <row r="56" spans="2:18" ht="15" customHeight="1" x14ac:dyDescent="0.45">
      <c r="B56" s="124"/>
      <c r="C56" s="125" t="s">
        <v>44</v>
      </c>
      <c r="D56" s="17" t="s">
        <v>55</v>
      </c>
      <c r="E56" s="18">
        <f>E50*E$16/$E$4</f>
        <v>0.495</v>
      </c>
      <c r="F56" s="18">
        <f>F50*F$16/$E$4-E56</f>
        <v>0.69300000000000017</v>
      </c>
      <c r="G56" s="18">
        <f>G50*G$16/$E$4-F56-E56</f>
        <v>0.97020000000000028</v>
      </c>
      <c r="H56" s="18">
        <f>H50*H$16/$E$4-G56-F56-E56</f>
        <v>1.3582799999999993</v>
      </c>
      <c r="I56" s="18">
        <f>I50*I$16/$E$4-H56-G56-F56-E56</f>
        <v>1.9015919999999995</v>
      </c>
      <c r="J56" s="18">
        <f>J50*J$16/$E$4-I56-H56-G56-F56-E56</f>
        <v>2.6622288000000016</v>
      </c>
      <c r="K56" s="18">
        <f>K50*K$16/$E$4-J56-I56-H56-G56-F56-E56</f>
        <v>3.7271203200000027</v>
      </c>
      <c r="L56" s="18">
        <f>L50*L$16/$E$4-K56-J56-I56-H56-G56-F56-E56</f>
        <v>5.217968448000013</v>
      </c>
      <c r="M56" s="18">
        <f>M50*M$16/$E$4-L56-K56-J56-I56-H56-G56-F56-E56</f>
        <v>7.3051558271999735</v>
      </c>
      <c r="N56" s="18">
        <f>N50*N$16/$E$4-M56-L56-K56-J56-I56-H56-G56-F56-E56</f>
        <v>10.227218158079969</v>
      </c>
      <c r="R56" s="13"/>
    </row>
    <row r="57" spans="2:18" ht="15" customHeight="1" x14ac:dyDescent="0.45">
      <c r="B57" s="124"/>
      <c r="C57" s="123"/>
      <c r="D57" s="17" t="s">
        <v>56</v>
      </c>
      <c r="E57" s="19"/>
      <c r="F57" s="19"/>
      <c r="G57" s="19"/>
      <c r="H57" s="19"/>
      <c r="I57" s="19">
        <f>SUM(E56:I56)/5</f>
        <v>1.0836143999999996</v>
      </c>
      <c r="J57" s="19"/>
      <c r="K57" s="19"/>
      <c r="L57" s="19"/>
      <c r="M57" s="19"/>
      <c r="N57" s="19">
        <f>SUM(E56:N56)/10</f>
        <v>3.4557763553279961</v>
      </c>
      <c r="R57" s="13"/>
    </row>
    <row r="58" spans="2:18" ht="15" customHeight="1" x14ac:dyDescent="0.45">
      <c r="B58" s="124"/>
      <c r="C58" s="124"/>
      <c r="D58" s="21" t="s">
        <v>59</v>
      </c>
      <c r="E58" s="24">
        <f>E60</f>
        <v>495000.00000000006</v>
      </c>
      <c r="F58" s="24">
        <f>F60-E60</f>
        <v>693000</v>
      </c>
      <c r="G58" s="24">
        <f t="shared" ref="G58:N58" si="27">G60-F60</f>
        <v>970200.00000000047</v>
      </c>
      <c r="H58" s="24">
        <f t="shared" si="27"/>
        <v>1358279.9999999986</v>
      </c>
      <c r="I58" s="24">
        <f t="shared" si="27"/>
        <v>1901592</v>
      </c>
      <c r="J58" s="24">
        <f t="shared" si="27"/>
        <v>2662228.8000000017</v>
      </c>
      <c r="K58" s="24">
        <f t="shared" si="27"/>
        <v>3727120.3200000003</v>
      </c>
      <c r="L58" s="24">
        <f t="shared" si="27"/>
        <v>5217968.4480000138</v>
      </c>
      <c r="M58" s="24">
        <f t="shared" si="27"/>
        <v>7305155.8271999732</v>
      </c>
      <c r="N58" s="24">
        <f t="shared" si="27"/>
        <v>10227218.158079971</v>
      </c>
      <c r="R58" s="13"/>
    </row>
    <row r="59" spans="2:18" ht="15" customHeight="1" x14ac:dyDescent="0.45">
      <c r="B59" s="124"/>
      <c r="C59" s="124"/>
      <c r="D59" s="21" t="s">
        <v>61</v>
      </c>
      <c r="E59" s="24"/>
      <c r="F59" s="24"/>
      <c r="G59" s="24"/>
      <c r="H59" s="24"/>
      <c r="I59" s="24">
        <f>SUM(E58:I58)/5</f>
        <v>1083614.3999999999</v>
      </c>
      <c r="J59" s="24"/>
      <c r="K59" s="24"/>
      <c r="L59" s="24"/>
      <c r="M59" s="24"/>
      <c r="N59" s="24">
        <f>SUM(E58:N58)/10</f>
        <v>3455776.355327996</v>
      </c>
      <c r="R59" s="13"/>
    </row>
    <row r="60" spans="2:18" ht="15" customHeight="1" x14ac:dyDescent="0.45">
      <c r="B60" s="124"/>
      <c r="C60" s="124"/>
      <c r="D60" s="21" t="s">
        <v>60</v>
      </c>
      <c r="E60" s="23">
        <f t="shared" ref="E60:N60" si="28">E52*E$16</f>
        <v>495000.00000000006</v>
      </c>
      <c r="F60" s="23">
        <f t="shared" si="28"/>
        <v>1188000</v>
      </c>
      <c r="G60" s="23">
        <f t="shared" si="28"/>
        <v>2158200.0000000005</v>
      </c>
      <c r="H60" s="23">
        <f t="shared" si="28"/>
        <v>3516479.9999999991</v>
      </c>
      <c r="I60" s="23">
        <f t="shared" si="28"/>
        <v>5418071.9999999991</v>
      </c>
      <c r="J60" s="23">
        <f t="shared" si="28"/>
        <v>8080300.8000000007</v>
      </c>
      <c r="K60" s="23">
        <f t="shared" si="28"/>
        <v>11807421.120000001</v>
      </c>
      <c r="L60" s="23">
        <f t="shared" si="28"/>
        <v>17025389.568000015</v>
      </c>
      <c r="M60" s="23">
        <f t="shared" si="28"/>
        <v>24330545.395199988</v>
      </c>
      <c r="N60" s="23">
        <f t="shared" si="28"/>
        <v>34557763.553279959</v>
      </c>
      <c r="R60" s="13"/>
    </row>
    <row r="61" spans="2:18" ht="15" customHeight="1" x14ac:dyDescent="0.45">
      <c r="B61" s="124" t="s">
        <v>17</v>
      </c>
      <c r="C61" s="123" t="s">
        <v>41</v>
      </c>
      <c r="D61" s="17" t="s">
        <v>55</v>
      </c>
      <c r="E61" s="18">
        <f>E$26*$D46</f>
        <v>2.7E-2</v>
      </c>
      <c r="F61" s="18">
        <f t="shared" ref="F61:N61" si="29">F$26*$D46</f>
        <v>2.7E-2</v>
      </c>
      <c r="G61" s="18">
        <f t="shared" si="29"/>
        <v>2.7E-2</v>
      </c>
      <c r="H61" s="18">
        <f t="shared" si="29"/>
        <v>2.7E-2</v>
      </c>
      <c r="I61" s="92">
        <f t="shared" si="29"/>
        <v>2.7E-2</v>
      </c>
      <c r="J61" s="18">
        <f t="shared" si="29"/>
        <v>2.7E-2</v>
      </c>
      <c r="K61" s="18">
        <f t="shared" si="29"/>
        <v>2.7E-2</v>
      </c>
      <c r="L61" s="18">
        <f t="shared" si="29"/>
        <v>2.7E-2</v>
      </c>
      <c r="M61" s="18">
        <f t="shared" si="29"/>
        <v>2.7E-2</v>
      </c>
      <c r="N61" s="18">
        <f t="shared" si="29"/>
        <v>2.7E-2</v>
      </c>
      <c r="R61" s="13"/>
    </row>
    <row r="62" spans="2:18" ht="15" customHeight="1" x14ac:dyDescent="0.45">
      <c r="B62" s="124"/>
      <c r="C62" s="123"/>
      <c r="D62" s="17" t="s">
        <v>53</v>
      </c>
      <c r="E62" s="18">
        <f>E$27*$D46</f>
        <v>2.7E-2</v>
      </c>
      <c r="F62" s="18">
        <f>F$27*$D46</f>
        <v>5.3999999999999999E-2</v>
      </c>
      <c r="G62" s="18">
        <f>G$27*$D46</f>
        <v>8.1000000000000003E-2</v>
      </c>
      <c r="H62" s="18">
        <f t="shared" ref="H62:N62" si="30">H$27*$D46</f>
        <v>0.108</v>
      </c>
      <c r="I62" s="18">
        <f t="shared" si="30"/>
        <v>0.13500000000000001</v>
      </c>
      <c r="J62" s="18">
        <f t="shared" si="30"/>
        <v>0.16200000000000001</v>
      </c>
      <c r="K62" s="18">
        <f t="shared" si="30"/>
        <v>0.189</v>
      </c>
      <c r="L62" s="18">
        <f t="shared" si="30"/>
        <v>0.216</v>
      </c>
      <c r="M62" s="18">
        <f t="shared" si="30"/>
        <v>0.24300000000000002</v>
      </c>
      <c r="N62" s="18">
        <f t="shared" si="30"/>
        <v>0.27000000000000007</v>
      </c>
      <c r="R62" s="13"/>
    </row>
    <row r="63" spans="2:18" ht="15" customHeight="1" x14ac:dyDescent="0.45">
      <c r="B63" s="124"/>
      <c r="C63" s="124"/>
      <c r="D63" s="21" t="s">
        <v>59</v>
      </c>
      <c r="E63" s="22">
        <f>10*E61</f>
        <v>0.27</v>
      </c>
      <c r="F63" s="22">
        <f t="shared" ref="F63:N64" si="31">10*F61</f>
        <v>0.27</v>
      </c>
      <c r="G63" s="22">
        <f t="shared" si="31"/>
        <v>0.27</v>
      </c>
      <c r="H63" s="22">
        <f t="shared" si="31"/>
        <v>0.27</v>
      </c>
      <c r="I63" s="22">
        <f t="shared" si="31"/>
        <v>0.27</v>
      </c>
      <c r="J63" s="22">
        <f t="shared" si="31"/>
        <v>0.27</v>
      </c>
      <c r="K63" s="22">
        <f t="shared" si="31"/>
        <v>0.27</v>
      </c>
      <c r="L63" s="22">
        <f t="shared" si="31"/>
        <v>0.27</v>
      </c>
      <c r="M63" s="22">
        <f t="shared" si="31"/>
        <v>0.27</v>
      </c>
      <c r="N63" s="22">
        <f t="shared" si="31"/>
        <v>0.27</v>
      </c>
      <c r="R63" s="13"/>
    </row>
    <row r="64" spans="2:18" ht="15" customHeight="1" x14ac:dyDescent="0.45">
      <c r="B64" s="124"/>
      <c r="C64" s="124"/>
      <c r="D64" s="21" t="s">
        <v>60</v>
      </c>
      <c r="E64" s="22">
        <f>10*E62</f>
        <v>0.27</v>
      </c>
      <c r="F64" s="22">
        <f t="shared" si="31"/>
        <v>0.54</v>
      </c>
      <c r="G64" s="22">
        <f t="shared" si="31"/>
        <v>0.81</v>
      </c>
      <c r="H64" s="22">
        <f t="shared" si="31"/>
        <v>1.08</v>
      </c>
      <c r="I64" s="22">
        <f t="shared" si="31"/>
        <v>1.35</v>
      </c>
      <c r="J64" s="22">
        <f t="shared" si="31"/>
        <v>1.62</v>
      </c>
      <c r="K64" s="22">
        <f t="shared" si="31"/>
        <v>1.8900000000000001</v>
      </c>
      <c r="L64" s="22">
        <f t="shared" si="31"/>
        <v>2.16</v>
      </c>
      <c r="M64" s="22">
        <f t="shared" si="31"/>
        <v>2.4300000000000002</v>
      </c>
      <c r="N64" s="22">
        <f t="shared" si="31"/>
        <v>2.7000000000000006</v>
      </c>
    </row>
    <row r="65" spans="2:14" ht="15" customHeight="1" x14ac:dyDescent="0.45">
      <c r="B65" s="124"/>
      <c r="C65" s="125" t="s">
        <v>45</v>
      </c>
      <c r="D65" s="17" t="s">
        <v>55</v>
      </c>
      <c r="E65" s="18">
        <f>E61*E$16/$E$4</f>
        <v>3.78E-2</v>
      </c>
      <c r="F65" s="18">
        <f t="shared" ref="F65:N65" si="32">F61*F$16/$E$4</f>
        <v>5.2920000000000002E-2</v>
      </c>
      <c r="G65" s="18">
        <f t="shared" si="32"/>
        <v>7.4088000000000001E-2</v>
      </c>
      <c r="H65" s="18">
        <f t="shared" si="32"/>
        <v>0.1037232</v>
      </c>
      <c r="I65" s="18">
        <f t="shared" si="32"/>
        <v>0.14521248</v>
      </c>
      <c r="J65" s="18">
        <f t="shared" si="32"/>
        <v>0.20329747199999998</v>
      </c>
      <c r="K65" s="18">
        <f t="shared" si="32"/>
        <v>0.28461646080000003</v>
      </c>
      <c r="L65" s="18">
        <f t="shared" si="32"/>
        <v>0.39846304512000003</v>
      </c>
      <c r="M65" s="18">
        <f t="shared" si="32"/>
        <v>0.55784826316800007</v>
      </c>
      <c r="N65" s="18">
        <f t="shared" si="32"/>
        <v>0.78098756843520012</v>
      </c>
    </row>
    <row r="66" spans="2:14" ht="15" customHeight="1" x14ac:dyDescent="0.45">
      <c r="B66" s="124"/>
      <c r="C66" s="123"/>
      <c r="D66" s="17" t="s">
        <v>56</v>
      </c>
      <c r="E66" s="18"/>
      <c r="F66" s="18"/>
      <c r="G66" s="18"/>
      <c r="H66" s="18"/>
      <c r="I66" s="19">
        <f>SUM(E65:I65)/5</f>
        <v>8.2748736000000017E-2</v>
      </c>
      <c r="J66" s="19"/>
      <c r="K66" s="19"/>
      <c r="L66" s="19"/>
      <c r="M66" s="19"/>
      <c r="N66" s="19">
        <f>SUM(E65:N65)/10</f>
        <v>0.26389564895231998</v>
      </c>
    </row>
    <row r="67" spans="2:14" ht="15" customHeight="1" x14ac:dyDescent="0.45">
      <c r="B67" s="124"/>
      <c r="C67" s="124"/>
      <c r="D67" s="21" t="s">
        <v>59</v>
      </c>
      <c r="E67" s="25">
        <f t="shared" ref="E67:N67" si="33">E63*E$16</f>
        <v>37800</v>
      </c>
      <c r="F67" s="25">
        <f t="shared" si="33"/>
        <v>52920</v>
      </c>
      <c r="G67" s="25">
        <f t="shared" si="33"/>
        <v>74088</v>
      </c>
      <c r="H67" s="25">
        <f t="shared" si="33"/>
        <v>103723.20000000001</v>
      </c>
      <c r="I67" s="25">
        <f t="shared" si="33"/>
        <v>145212.48000000001</v>
      </c>
      <c r="J67" s="25">
        <f t="shared" si="33"/>
        <v>203297.47200000001</v>
      </c>
      <c r="K67" s="25">
        <f t="shared" si="33"/>
        <v>284616.4608</v>
      </c>
      <c r="L67" s="25">
        <f t="shared" si="33"/>
        <v>398463.04512000002</v>
      </c>
      <c r="M67" s="25">
        <f t="shared" si="33"/>
        <v>557848.26316800003</v>
      </c>
      <c r="N67" s="25">
        <f t="shared" si="33"/>
        <v>780987.56843520014</v>
      </c>
    </row>
    <row r="68" spans="2:14" ht="15" customHeight="1" x14ac:dyDescent="0.45">
      <c r="B68" s="124"/>
      <c r="C68" s="124"/>
      <c r="D68" s="21" t="s">
        <v>61</v>
      </c>
      <c r="E68" s="26"/>
      <c r="F68" s="26"/>
      <c r="G68" s="26"/>
      <c r="H68" s="26"/>
      <c r="I68" s="25">
        <f>SUM(E67:I67)/5</f>
        <v>82748.736000000004</v>
      </c>
      <c r="J68" s="25"/>
      <c r="K68" s="25"/>
      <c r="L68" s="25"/>
      <c r="M68" s="25"/>
      <c r="N68" s="25">
        <f>SUM(E67:N67)/10</f>
        <v>263895.64895232004</v>
      </c>
    </row>
    <row r="69" spans="2:14" ht="15" customHeight="1" x14ac:dyDescent="0.45">
      <c r="B69" s="124"/>
      <c r="C69" s="124"/>
      <c r="D69" s="21" t="s">
        <v>60</v>
      </c>
      <c r="E69" s="26">
        <f>E67</f>
        <v>37800</v>
      </c>
      <c r="F69" s="26">
        <f t="shared" ref="F69:N69" si="34">E69+F67</f>
        <v>90720</v>
      </c>
      <c r="G69" s="26">
        <f t="shared" si="34"/>
        <v>164808</v>
      </c>
      <c r="H69" s="26">
        <f t="shared" si="34"/>
        <v>268531.20000000001</v>
      </c>
      <c r="I69" s="26">
        <f t="shared" si="34"/>
        <v>413743.68000000005</v>
      </c>
      <c r="J69" s="26">
        <f t="shared" si="34"/>
        <v>617041.152</v>
      </c>
      <c r="K69" s="26">
        <f t="shared" si="34"/>
        <v>901657.6128</v>
      </c>
      <c r="L69" s="26">
        <f t="shared" si="34"/>
        <v>1300120.6579200001</v>
      </c>
      <c r="M69" s="26">
        <f t="shared" si="34"/>
        <v>1857968.9210880003</v>
      </c>
      <c r="N69" s="26">
        <f t="shared" si="34"/>
        <v>2638956.4895232003</v>
      </c>
    </row>
    <row r="70" spans="2:14" ht="15" customHeight="1" x14ac:dyDescent="0.45">
      <c r="B70" s="124"/>
      <c r="C70" s="125" t="s">
        <v>44</v>
      </c>
      <c r="D70" s="17" t="s">
        <v>55</v>
      </c>
      <c r="E70" s="18">
        <f>E62*E$16/$E$4</f>
        <v>3.78E-2</v>
      </c>
      <c r="F70" s="18">
        <f>F62*F$16/$E$4-E70</f>
        <v>6.8040000000000003E-2</v>
      </c>
      <c r="G70" s="18">
        <f>G62*G$16/$E$4-F70-E70</f>
        <v>0.11642400000000003</v>
      </c>
      <c r="H70" s="18">
        <f>H62*H$16/$E$4-G70-F70-E70</f>
        <v>0.19262879999999999</v>
      </c>
      <c r="I70" s="18">
        <f>I62*I$16/$E$4-H70-G70-F70-E70</f>
        <v>0.31116960000000016</v>
      </c>
      <c r="J70" s="18">
        <f>J62*J$16/$E$4-I70-H70-G70-F70-E70</f>
        <v>0.49372243199999971</v>
      </c>
      <c r="K70" s="18">
        <f>K62*K$16/$E$4-J70-I70-H70-G70-F70-E70</f>
        <v>0.77253039360000009</v>
      </c>
      <c r="L70" s="18">
        <f>L62*L$16/$E$4-K70-J70-I70-H70-G70-F70-E70</f>
        <v>1.1953891353600001</v>
      </c>
      <c r="M70" s="18">
        <f>M62*M$16/$E$4-L70-K70-J70-I70-H70-G70-F70-E70</f>
        <v>1.8329300075520003</v>
      </c>
      <c r="N70" s="18">
        <f>N62*N$16/$E$4-M70-L70-K70-J70-I70-H70-G70-F70-E70</f>
        <v>2.7892413158400027</v>
      </c>
    </row>
    <row r="71" spans="2:14" ht="15" customHeight="1" x14ac:dyDescent="0.45">
      <c r="B71" s="124"/>
      <c r="C71" s="123"/>
      <c r="D71" s="17" t="s">
        <v>56</v>
      </c>
      <c r="E71" s="19"/>
      <c r="F71" s="19"/>
      <c r="G71" s="19"/>
      <c r="H71" s="19"/>
      <c r="I71" s="19">
        <f>SUM(E70:I70)/5</f>
        <v>0.14521248000000003</v>
      </c>
      <c r="J71" s="19"/>
      <c r="K71" s="19"/>
      <c r="L71" s="19"/>
      <c r="M71" s="19"/>
      <c r="N71" s="19">
        <f>SUM(E70:N70)/10</f>
        <v>0.78098756843520034</v>
      </c>
    </row>
    <row r="72" spans="2:14" ht="15" customHeight="1" x14ac:dyDescent="0.45">
      <c r="B72" s="124"/>
      <c r="C72" s="124"/>
      <c r="D72" s="21" t="s">
        <v>59</v>
      </c>
      <c r="E72" s="25">
        <f>E74</f>
        <v>37800</v>
      </c>
      <c r="F72" s="25">
        <f>F74-E74</f>
        <v>68040</v>
      </c>
      <c r="G72" s="25">
        <f>G74-F74</f>
        <v>116424.00000000003</v>
      </c>
      <c r="H72" s="25">
        <f t="shared" ref="H72:N72" si="35">H74-G74</f>
        <v>192628.80000000002</v>
      </c>
      <c r="I72" s="25">
        <f t="shared" si="35"/>
        <v>311169.59999999998</v>
      </c>
      <c r="J72" s="25">
        <f t="shared" si="35"/>
        <v>493722.43199999991</v>
      </c>
      <c r="K72" s="25">
        <f t="shared" si="35"/>
        <v>772530.3936000003</v>
      </c>
      <c r="L72" s="25">
        <f t="shared" si="35"/>
        <v>1195389.13536</v>
      </c>
      <c r="M72" s="25">
        <f t="shared" si="35"/>
        <v>1832930.0075520007</v>
      </c>
      <c r="N72" s="25">
        <f t="shared" si="35"/>
        <v>2789241.3158400021</v>
      </c>
    </row>
    <row r="73" spans="2:14" ht="15" customHeight="1" x14ac:dyDescent="0.45">
      <c r="B73" s="124"/>
      <c r="C73" s="124"/>
      <c r="D73" s="21" t="s">
        <v>61</v>
      </c>
      <c r="E73" s="25"/>
      <c r="F73" s="25"/>
      <c r="G73" s="25"/>
      <c r="H73" s="25"/>
      <c r="I73" s="25">
        <f>SUM(E72:I72)/5</f>
        <v>145212.48000000001</v>
      </c>
      <c r="J73" s="25"/>
      <c r="K73" s="25"/>
      <c r="L73" s="25"/>
      <c r="M73" s="25"/>
      <c r="N73" s="25">
        <f>SUM(E72:N72)/10</f>
        <v>780987.56843520026</v>
      </c>
    </row>
    <row r="74" spans="2:14" ht="15" customHeight="1" x14ac:dyDescent="0.45">
      <c r="B74" s="124"/>
      <c r="C74" s="124"/>
      <c r="D74" s="21" t="s">
        <v>60</v>
      </c>
      <c r="E74" s="26">
        <f t="shared" ref="E74:N74" si="36">E64*E$16</f>
        <v>37800</v>
      </c>
      <c r="F74" s="26">
        <f t="shared" si="36"/>
        <v>105840</v>
      </c>
      <c r="G74" s="26">
        <f t="shared" si="36"/>
        <v>222264.00000000003</v>
      </c>
      <c r="H74" s="26">
        <f t="shared" si="36"/>
        <v>414892.80000000005</v>
      </c>
      <c r="I74" s="26">
        <f t="shared" si="36"/>
        <v>726062.4</v>
      </c>
      <c r="J74" s="26">
        <f t="shared" si="36"/>
        <v>1219784.8319999999</v>
      </c>
      <c r="K74" s="26">
        <f t="shared" si="36"/>
        <v>1992315.2256000002</v>
      </c>
      <c r="L74" s="26">
        <f t="shared" si="36"/>
        <v>3187704.3609600002</v>
      </c>
      <c r="M74" s="26">
        <f t="shared" si="36"/>
        <v>5020634.3685120009</v>
      </c>
      <c r="N74" s="26">
        <f t="shared" si="36"/>
        <v>7809875.684352003</v>
      </c>
    </row>
    <row r="75" spans="2:14" ht="15" customHeight="1" x14ac:dyDescent="0.45">
      <c r="B75" s="124" t="s">
        <v>18</v>
      </c>
      <c r="C75" s="123" t="s">
        <v>41</v>
      </c>
      <c r="D75" s="17" t="s">
        <v>55</v>
      </c>
      <c r="E75" s="18">
        <f>E48+E61-E120</f>
        <v>0.34485714285714286</v>
      </c>
      <c r="F75" s="18">
        <f t="shared" ref="F75:N75" si="37">F48+F61-F120</f>
        <v>0.25404081632653064</v>
      </c>
      <c r="G75" s="18">
        <f t="shared" si="37"/>
        <v>0.18917201166180767</v>
      </c>
      <c r="H75" s="18">
        <f t="shared" si="37"/>
        <v>0.14283715118700535</v>
      </c>
      <c r="I75" s="18">
        <f t="shared" si="37"/>
        <v>0.10974082227643243</v>
      </c>
      <c r="J75" s="18">
        <f t="shared" si="37"/>
        <v>8.6100587340308884E-2</v>
      </c>
      <c r="K75" s="18">
        <f t="shared" si="37"/>
        <v>6.9214705243077795E-2</v>
      </c>
      <c r="L75" s="18">
        <f t="shared" si="37"/>
        <v>5.7153360887912778E-2</v>
      </c>
      <c r="M75" s="18">
        <f t="shared" si="37"/>
        <v>4.8538114919937585E-2</v>
      </c>
      <c r="N75" s="18">
        <f t="shared" si="37"/>
        <v>4.2384367799955386E-2</v>
      </c>
    </row>
    <row r="76" spans="2:14" ht="15" customHeight="1" x14ac:dyDescent="0.45">
      <c r="B76" s="124"/>
      <c r="C76" s="123"/>
      <c r="D76" s="17" t="s">
        <v>56</v>
      </c>
      <c r="E76" s="18"/>
      <c r="F76" s="18"/>
      <c r="G76" s="18"/>
      <c r="H76" s="18"/>
      <c r="I76" s="44">
        <f>SUM(E75:I75)/5</f>
        <v>0.20812958886178379</v>
      </c>
      <c r="J76" s="18"/>
      <c r="K76" s="18"/>
      <c r="L76" s="18"/>
      <c r="M76" s="18"/>
      <c r="N76" s="19">
        <f>SUM(E75:N75)/10</f>
        <v>0.13440390805001112</v>
      </c>
    </row>
    <row r="77" spans="2:14" ht="15" customHeight="1" x14ac:dyDescent="0.45">
      <c r="B77" s="124"/>
      <c r="C77" s="123"/>
      <c r="D77" s="17" t="s">
        <v>53</v>
      </c>
      <c r="E77" s="18">
        <f>E50+E62-E122</f>
        <v>0.34485714285714292</v>
      </c>
      <c r="F77" s="18">
        <f>F50+F62-F122</f>
        <v>0.59889795918367361</v>
      </c>
      <c r="G77" s="18">
        <f t="shared" ref="G77:N77" si="38">G50+G62-G122</f>
        <v>0.78806997084548114</v>
      </c>
      <c r="H77" s="18">
        <f t="shared" si="38"/>
        <v>0.93090712203248627</v>
      </c>
      <c r="I77" s="18">
        <f t="shared" si="38"/>
        <v>1.0406479443089187</v>
      </c>
      <c r="J77" s="18">
        <f t="shared" si="38"/>
        <v>1.1267485316492278</v>
      </c>
      <c r="K77" s="18">
        <f t="shared" si="38"/>
        <v>1.1959632368923059</v>
      </c>
      <c r="L77" s="18">
        <f t="shared" si="38"/>
        <v>1.2531165977802194</v>
      </c>
      <c r="M77" s="18">
        <f t="shared" si="38"/>
        <v>1.3016547127001552</v>
      </c>
      <c r="N77" s="18">
        <f t="shared" si="38"/>
        <v>1.3440390805001097</v>
      </c>
    </row>
    <row r="78" spans="2:14" ht="15" customHeight="1" x14ac:dyDescent="0.45">
      <c r="B78" s="124"/>
      <c r="C78" s="124"/>
      <c r="D78" s="21" t="s">
        <v>59</v>
      </c>
      <c r="E78" s="22">
        <f>10*E75</f>
        <v>3.4485714285714284</v>
      </c>
      <c r="F78" s="22">
        <f t="shared" ref="F78:N78" si="39">10*F75</f>
        <v>2.5404081632653064</v>
      </c>
      <c r="G78" s="22">
        <f t="shared" si="39"/>
        <v>1.8917201166180766</v>
      </c>
      <c r="H78" s="22">
        <f t="shared" si="39"/>
        <v>1.4283715118700535</v>
      </c>
      <c r="I78" s="22">
        <f t="shared" si="39"/>
        <v>1.0974082227643243</v>
      </c>
      <c r="J78" s="22">
        <f t="shared" si="39"/>
        <v>0.86100587340308887</v>
      </c>
      <c r="K78" s="22">
        <f t="shared" si="39"/>
        <v>0.69214705243077801</v>
      </c>
      <c r="L78" s="22">
        <f t="shared" si="39"/>
        <v>0.57153360887912774</v>
      </c>
      <c r="M78" s="22">
        <f t="shared" si="39"/>
        <v>0.48538114919937586</v>
      </c>
      <c r="N78" s="22">
        <f t="shared" si="39"/>
        <v>0.42384367799955386</v>
      </c>
    </row>
    <row r="79" spans="2:14" ht="15" customHeight="1" x14ac:dyDescent="0.45">
      <c r="B79" s="124"/>
      <c r="C79" s="124"/>
      <c r="D79" s="21" t="s">
        <v>60</v>
      </c>
      <c r="E79" s="22">
        <f>10*E77</f>
        <v>3.4485714285714293</v>
      </c>
      <c r="F79" s="22">
        <f>10*F77</f>
        <v>5.9889795918367366</v>
      </c>
      <c r="G79" s="22">
        <f>10*G77</f>
        <v>7.8806997084548112</v>
      </c>
      <c r="H79" s="22">
        <f t="shared" ref="H79:N79" si="40">10*H77</f>
        <v>9.3090712203248636</v>
      </c>
      <c r="I79" s="22">
        <f t="shared" si="40"/>
        <v>10.406479443089188</v>
      </c>
      <c r="J79" s="22">
        <f t="shared" si="40"/>
        <v>11.267485316492278</v>
      </c>
      <c r="K79" s="22">
        <f t="shared" si="40"/>
        <v>11.959632368923058</v>
      </c>
      <c r="L79" s="22">
        <f t="shared" si="40"/>
        <v>12.531165977802194</v>
      </c>
      <c r="M79" s="22">
        <f t="shared" si="40"/>
        <v>13.016547127001552</v>
      </c>
      <c r="N79" s="22">
        <f t="shared" si="40"/>
        <v>13.440390805001098</v>
      </c>
    </row>
    <row r="80" spans="2:14" ht="15" customHeight="1" x14ac:dyDescent="0.45">
      <c r="B80" s="124"/>
      <c r="C80" s="125" t="s">
        <v>45</v>
      </c>
      <c r="D80" s="17" t="s">
        <v>55</v>
      </c>
      <c r="E80" s="18">
        <f>E53+E65-E125</f>
        <v>0.48279999999999995</v>
      </c>
      <c r="F80" s="18">
        <f t="shared" ref="F80:N80" si="41">F53+F65-F125</f>
        <v>0.49792000000000008</v>
      </c>
      <c r="G80" s="18">
        <f t="shared" si="41"/>
        <v>0.51908800000000022</v>
      </c>
      <c r="H80" s="18">
        <f t="shared" si="41"/>
        <v>0.54872319999999974</v>
      </c>
      <c r="I80" s="18">
        <f t="shared" si="41"/>
        <v>0.59021247999999993</v>
      </c>
      <c r="J80" s="18">
        <f t="shared" si="41"/>
        <v>0.64829747199999987</v>
      </c>
      <c r="K80" s="18">
        <f t="shared" si="41"/>
        <v>0.7296164608000002</v>
      </c>
      <c r="L80" s="18">
        <f t="shared" si="41"/>
        <v>0.84346304512000136</v>
      </c>
      <c r="M80" s="18">
        <f t="shared" si="41"/>
        <v>1.0028482631679989</v>
      </c>
      <c r="N80" s="18">
        <f t="shared" si="41"/>
        <v>1.2259875684351982</v>
      </c>
    </row>
    <row r="81" spans="1:18" ht="15" customHeight="1" x14ac:dyDescent="0.45">
      <c r="B81" s="124"/>
      <c r="C81" s="123"/>
      <c r="D81" s="17" t="s">
        <v>56</v>
      </c>
      <c r="E81" s="18"/>
      <c r="F81" s="18"/>
      <c r="G81" s="18"/>
      <c r="H81" s="18"/>
      <c r="I81" s="19">
        <f>SUM(E80:I80)/5</f>
        <v>0.52774873600000005</v>
      </c>
      <c r="J81" s="19"/>
      <c r="K81" s="19"/>
      <c r="L81" s="19"/>
      <c r="M81" s="19"/>
      <c r="N81" s="19">
        <f>SUM(E80:N80)/10</f>
        <v>0.70889564895231982</v>
      </c>
    </row>
    <row r="82" spans="1:18" ht="15" customHeight="1" x14ac:dyDescent="0.45">
      <c r="B82" s="124"/>
      <c r="C82" s="124"/>
      <c r="D82" s="21" t="s">
        <v>59</v>
      </c>
      <c r="E82" s="24">
        <f t="shared" ref="E82:N82" si="42">E78*E$16</f>
        <v>482800</v>
      </c>
      <c r="F82" s="24">
        <f t="shared" si="42"/>
        <v>497920.00000000006</v>
      </c>
      <c r="G82" s="24">
        <f t="shared" si="42"/>
        <v>519088.00000000023</v>
      </c>
      <c r="H82" s="24">
        <f t="shared" si="42"/>
        <v>548723.19999999972</v>
      </c>
      <c r="I82" s="24">
        <f t="shared" si="42"/>
        <v>590212.48</v>
      </c>
      <c r="J82" s="24">
        <f t="shared" si="42"/>
        <v>648297.47199999995</v>
      </c>
      <c r="K82" s="24">
        <f t="shared" si="42"/>
        <v>729616.46080000035</v>
      </c>
      <c r="L82" s="24">
        <f t="shared" si="42"/>
        <v>843463.04512000119</v>
      </c>
      <c r="M82" s="24">
        <f t="shared" si="42"/>
        <v>1002848.2631679989</v>
      </c>
      <c r="N82" s="24">
        <f t="shared" si="42"/>
        <v>1225987.5684351982</v>
      </c>
    </row>
    <row r="83" spans="1:18" ht="15" customHeight="1" x14ac:dyDescent="0.45">
      <c r="B83" s="124"/>
      <c r="C83" s="124"/>
      <c r="D83" s="21" t="s">
        <v>61</v>
      </c>
      <c r="E83" s="23"/>
      <c r="F83" s="23"/>
      <c r="G83" s="23"/>
      <c r="H83" s="23"/>
      <c r="I83" s="24">
        <f>SUM(E82:I82)/5</f>
        <v>527748.73599999992</v>
      </c>
      <c r="J83" s="24"/>
      <c r="K83" s="24"/>
      <c r="L83" s="24"/>
      <c r="M83" s="24"/>
      <c r="N83" s="24">
        <f>SUM(E82:N82)/10</f>
        <v>708895.64895231987</v>
      </c>
    </row>
    <row r="84" spans="1:18" ht="15" customHeight="1" x14ac:dyDescent="0.45">
      <c r="B84" s="124"/>
      <c r="C84" s="124"/>
      <c r="D84" s="21" t="s">
        <v>60</v>
      </c>
      <c r="E84" s="23">
        <f>E82</f>
        <v>482800</v>
      </c>
      <c r="F84" s="23">
        <f t="shared" ref="F84:N84" si="43">E84+F82</f>
        <v>980720</v>
      </c>
      <c r="G84" s="23">
        <f t="shared" si="43"/>
        <v>1499808.0000000002</v>
      </c>
      <c r="H84" s="23">
        <f t="shared" si="43"/>
        <v>2048531.2</v>
      </c>
      <c r="I84" s="23">
        <f t="shared" si="43"/>
        <v>2638743.6799999997</v>
      </c>
      <c r="J84" s="23">
        <f t="shared" si="43"/>
        <v>3287041.1519999998</v>
      </c>
      <c r="K84" s="23">
        <f t="shared" si="43"/>
        <v>4016657.6128000002</v>
      </c>
      <c r="L84" s="23">
        <f t="shared" si="43"/>
        <v>4860120.6579200011</v>
      </c>
      <c r="M84" s="23">
        <f t="shared" si="43"/>
        <v>5862968.9210879998</v>
      </c>
      <c r="N84" s="23">
        <f t="shared" si="43"/>
        <v>7088956.4895231985</v>
      </c>
    </row>
    <row r="85" spans="1:18" ht="15" customHeight="1" x14ac:dyDescent="0.45">
      <c r="B85" s="124"/>
      <c r="C85" s="125" t="s">
        <v>44</v>
      </c>
      <c r="D85" s="17" t="s">
        <v>55</v>
      </c>
      <c r="E85" s="18">
        <f>E56+E70-E128</f>
        <v>0.48279999999999995</v>
      </c>
      <c r="F85" s="18">
        <f t="shared" ref="F85:N85" si="44">F56+F70-F128</f>
        <v>0.69104000000000021</v>
      </c>
      <c r="G85" s="18">
        <f t="shared" si="44"/>
        <v>0.98862400000000028</v>
      </c>
      <c r="H85" s="18">
        <f t="shared" si="44"/>
        <v>1.4137087999999991</v>
      </c>
      <c r="I85" s="18">
        <f t="shared" si="44"/>
        <v>2.0206815999999996</v>
      </c>
      <c r="J85" s="18">
        <f t="shared" si="44"/>
        <v>2.8870392320000016</v>
      </c>
      <c r="K85" s="18">
        <f t="shared" si="44"/>
        <v>4.1231739136000032</v>
      </c>
      <c r="L85" s="18">
        <f t="shared" si="44"/>
        <v>5.8862900633600148</v>
      </c>
      <c r="M85" s="18">
        <f t="shared" si="44"/>
        <v>8.4001913067519673</v>
      </c>
      <c r="N85" s="18">
        <f t="shared" si="44"/>
        <v>11.983407134719966</v>
      </c>
    </row>
    <row r="86" spans="1:18" ht="15" customHeight="1" x14ac:dyDescent="0.45">
      <c r="B86" s="124"/>
      <c r="C86" s="123"/>
      <c r="D86" s="17" t="s">
        <v>56</v>
      </c>
      <c r="E86" s="19"/>
      <c r="F86" s="19"/>
      <c r="G86" s="19"/>
      <c r="H86" s="19"/>
      <c r="I86" s="19">
        <f>SUM(E85:I85)/5</f>
        <v>1.1193708799999997</v>
      </c>
      <c r="J86" s="19"/>
      <c r="K86" s="19"/>
      <c r="L86" s="19"/>
      <c r="M86" s="19"/>
      <c r="N86" s="19">
        <f>SUM(E85:N85)/10</f>
        <v>3.887695605043195</v>
      </c>
    </row>
    <row r="87" spans="1:18" ht="15" customHeight="1" x14ac:dyDescent="0.45">
      <c r="B87" s="124"/>
      <c r="C87" s="124"/>
      <c r="D87" s="21" t="s">
        <v>59</v>
      </c>
      <c r="E87" s="24">
        <f>E89</f>
        <v>482800.00000000012</v>
      </c>
      <c r="F87" s="24">
        <f>F89-E89</f>
        <v>691040.00000000035</v>
      </c>
      <c r="G87" s="24">
        <f>G89-F89</f>
        <v>988623.99999999953</v>
      </c>
      <c r="H87" s="24">
        <f t="shared" ref="H87:N87" si="45">H89-G89</f>
        <v>1413708.7999999998</v>
      </c>
      <c r="I87" s="24">
        <f t="shared" si="45"/>
        <v>2020681.5999999996</v>
      </c>
      <c r="J87" s="24">
        <f t="shared" si="45"/>
        <v>2887039.2319999998</v>
      </c>
      <c r="K87" s="24">
        <f t="shared" si="45"/>
        <v>4123173.9136000033</v>
      </c>
      <c r="L87" s="24">
        <f t="shared" si="45"/>
        <v>5886290.0633600149</v>
      </c>
      <c r="M87" s="24">
        <f t="shared" si="45"/>
        <v>8400191.3067519665</v>
      </c>
      <c r="N87" s="24">
        <f t="shared" si="45"/>
        <v>11983407.134719975</v>
      </c>
    </row>
    <row r="88" spans="1:18" ht="15" customHeight="1" x14ac:dyDescent="0.45">
      <c r="A88" s="9"/>
      <c r="B88" s="124"/>
      <c r="C88" s="124"/>
      <c r="D88" s="21" t="s">
        <v>61</v>
      </c>
      <c r="E88" s="24"/>
      <c r="F88" s="24"/>
      <c r="G88" s="24"/>
      <c r="H88" s="24"/>
      <c r="I88" s="24">
        <f>SUM(E87:I87)/5</f>
        <v>1119370.8799999999</v>
      </c>
      <c r="J88" s="24"/>
      <c r="K88" s="24"/>
      <c r="L88" s="24"/>
      <c r="M88" s="24"/>
      <c r="N88" s="24">
        <f>SUM(E87:N87)/10</f>
        <v>3887695.6050431961</v>
      </c>
      <c r="O88" s="9"/>
    </row>
    <row r="89" spans="1:18" ht="15" customHeight="1" x14ac:dyDescent="0.45">
      <c r="B89" s="124"/>
      <c r="C89" s="124"/>
      <c r="D89" s="21" t="s">
        <v>60</v>
      </c>
      <c r="E89" s="23">
        <f t="shared" ref="E89:N89" si="46">E79*E$16</f>
        <v>482800.00000000012</v>
      </c>
      <c r="F89" s="23">
        <f t="shared" si="46"/>
        <v>1173840.0000000005</v>
      </c>
      <c r="G89" s="23">
        <f t="shared" si="46"/>
        <v>2162464</v>
      </c>
      <c r="H89" s="23">
        <f t="shared" si="46"/>
        <v>3576172.8</v>
      </c>
      <c r="I89" s="23">
        <f t="shared" si="46"/>
        <v>5596854.3999999994</v>
      </c>
      <c r="J89" s="23">
        <f t="shared" si="46"/>
        <v>8483893.6319999993</v>
      </c>
      <c r="K89" s="23">
        <f t="shared" si="46"/>
        <v>12607067.545600003</v>
      </c>
      <c r="L89" s="23">
        <f t="shared" si="46"/>
        <v>18493357.608960018</v>
      </c>
      <c r="M89" s="23">
        <f t="shared" si="46"/>
        <v>26893548.915711984</v>
      </c>
      <c r="N89" s="23">
        <f t="shared" si="46"/>
        <v>38876956.050431959</v>
      </c>
    </row>
    <row r="90" spans="1:18" s="5" customFormat="1" ht="15" customHeight="1" x14ac:dyDescent="0.45">
      <c r="B90" s="4"/>
      <c r="C90" s="1"/>
      <c r="D90" s="53"/>
      <c r="E90" s="36"/>
      <c r="F90" s="36"/>
      <c r="G90" s="36"/>
      <c r="H90" s="36"/>
      <c r="I90" s="36"/>
      <c r="J90" s="36"/>
      <c r="K90" s="36"/>
      <c r="L90" s="36"/>
      <c r="M90" s="36"/>
      <c r="N90" s="36"/>
      <c r="P90" s="2"/>
      <c r="Q90" s="2"/>
      <c r="R90" s="2"/>
    </row>
    <row r="91" spans="1:18" s="5" customFormat="1" ht="15" customHeight="1" x14ac:dyDescent="0.45">
      <c r="B91" s="130" t="s">
        <v>39</v>
      </c>
      <c r="C91" s="3" t="s">
        <v>33</v>
      </c>
      <c r="D91" s="58">
        <f>E9</f>
        <v>0.1</v>
      </c>
      <c r="E91" s="121" t="s">
        <v>3</v>
      </c>
      <c r="F91" s="121" t="s">
        <v>4</v>
      </c>
      <c r="G91" s="121" t="s">
        <v>5</v>
      </c>
      <c r="H91" s="121" t="s">
        <v>6</v>
      </c>
      <c r="I91" s="121" t="s">
        <v>7</v>
      </c>
      <c r="J91" s="121" t="s">
        <v>8</v>
      </c>
      <c r="K91" s="121" t="s">
        <v>9</v>
      </c>
      <c r="L91" s="121" t="s">
        <v>10</v>
      </c>
      <c r="M91" s="121" t="s">
        <v>11</v>
      </c>
      <c r="N91" s="121" t="s">
        <v>12</v>
      </c>
      <c r="P91" s="2"/>
      <c r="Q91" s="2"/>
      <c r="R91" s="2"/>
    </row>
    <row r="92" spans="1:18" s="5" customFormat="1" ht="15" customHeight="1" x14ac:dyDescent="0.45">
      <c r="B92" s="131"/>
      <c r="C92" s="47" t="s">
        <v>21</v>
      </c>
      <c r="D92" s="35" t="str">
        <f>"10 BTC / "&amp;TEXT($E$4*10, "$###0.00,,")&amp;"M USD"</f>
        <v>10 BTC / $1.00M USD</v>
      </c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P92" s="2"/>
      <c r="Q92" s="2"/>
      <c r="R92" s="2"/>
    </row>
    <row r="93" spans="1:18" s="5" customFormat="1" ht="15" customHeight="1" x14ac:dyDescent="0.45">
      <c r="B93" s="124" t="s">
        <v>16</v>
      </c>
      <c r="C93" s="123" t="s">
        <v>41</v>
      </c>
      <c r="D93" s="17" t="s">
        <v>86</v>
      </c>
      <c r="E93" s="18">
        <f>E$24*$D91</f>
        <v>5.7142857142857141E-2</v>
      </c>
      <c r="F93" s="18">
        <f t="shared" ref="F93:N93" si="47">F$24*$D91</f>
        <v>4.0816326530612249E-2</v>
      </c>
      <c r="G93" s="18">
        <f t="shared" si="47"/>
        <v>2.9154518950437327E-2</v>
      </c>
      <c r="H93" s="18">
        <f t="shared" si="47"/>
        <v>2.0824656393169508E-2</v>
      </c>
      <c r="I93" s="18">
        <f t="shared" si="47"/>
        <v>1.4874754566549653E-2</v>
      </c>
      <c r="J93" s="18">
        <f t="shared" si="47"/>
        <v>1.0624824690392609E-2</v>
      </c>
      <c r="K93" s="18">
        <f t="shared" si="47"/>
        <v>7.5891604931375813E-3</v>
      </c>
      <c r="L93" s="18">
        <f t="shared" si="47"/>
        <v>5.4208289236697075E-3</v>
      </c>
      <c r="M93" s="18">
        <f t="shared" si="47"/>
        <v>3.872020659764064E-3</v>
      </c>
      <c r="N93" s="18">
        <f t="shared" si="47"/>
        <v>2.7657290426886141E-3</v>
      </c>
      <c r="P93" s="2"/>
      <c r="Q93" s="2"/>
      <c r="R93" s="2"/>
    </row>
    <row r="94" spans="1:18" s="5" customFormat="1" ht="15" customHeight="1" x14ac:dyDescent="0.45">
      <c r="B94" s="124"/>
      <c r="C94" s="123"/>
      <c r="D94" s="17" t="s">
        <v>87</v>
      </c>
      <c r="E94" s="18"/>
      <c r="F94" s="18"/>
      <c r="G94" s="18"/>
      <c r="H94" s="18"/>
      <c r="I94" s="44">
        <f>SUM(E93:I93)/5</f>
        <v>3.2562622716725179E-2</v>
      </c>
      <c r="J94" s="18"/>
      <c r="K94" s="18"/>
      <c r="L94" s="18"/>
      <c r="M94" s="18"/>
      <c r="N94" s="19">
        <f>SUM(E93:N93)/10</f>
        <v>1.9308567739327848E-2</v>
      </c>
      <c r="P94" s="2"/>
      <c r="Q94" s="2"/>
      <c r="R94" s="2"/>
    </row>
    <row r="95" spans="1:18" s="5" customFormat="1" ht="15" customHeight="1" x14ac:dyDescent="0.45">
      <c r="B95" s="124"/>
      <c r="C95" s="123"/>
      <c r="D95" s="17" t="s">
        <v>53</v>
      </c>
      <c r="E95" s="18">
        <f>E$18*$D91</f>
        <v>2.8571428571428571E-2</v>
      </c>
      <c r="F95" s="18">
        <f>F$18*$D91</f>
        <v>4.8979591836734698E-2</v>
      </c>
      <c r="G95" s="18">
        <f t="shared" ref="G95:N95" si="48">G$18*$D91</f>
        <v>6.3556851311953363E-2</v>
      </c>
      <c r="H95" s="18">
        <f t="shared" si="48"/>
        <v>7.396917950853811E-2</v>
      </c>
      <c r="I95" s="18">
        <f t="shared" si="48"/>
        <v>8.140655679181294E-2</v>
      </c>
      <c r="J95" s="18">
        <f t="shared" si="48"/>
        <v>8.6718969137009244E-2</v>
      </c>
      <c r="K95" s="18">
        <f t="shared" si="48"/>
        <v>9.0513549383578029E-2</v>
      </c>
      <c r="L95" s="18">
        <f t="shared" si="48"/>
        <v>9.3223963845412885E-2</v>
      </c>
      <c r="M95" s="18">
        <f t="shared" si="48"/>
        <v>9.5159974175294926E-2</v>
      </c>
      <c r="N95" s="18">
        <f t="shared" si="48"/>
        <v>9.6542838696639224E-2</v>
      </c>
      <c r="P95" s="2"/>
      <c r="Q95" s="2"/>
      <c r="R95" s="2"/>
    </row>
    <row r="96" spans="1:18" s="5" customFormat="1" ht="15" customHeight="1" x14ac:dyDescent="0.45">
      <c r="B96" s="124"/>
      <c r="C96" s="124"/>
      <c r="D96" s="21" t="s">
        <v>59</v>
      </c>
      <c r="E96" s="22">
        <f>10*E93</f>
        <v>0.5714285714285714</v>
      </c>
      <c r="F96" s="22">
        <f t="shared" ref="F96:N96" si="49">10*F93</f>
        <v>0.40816326530612246</v>
      </c>
      <c r="G96" s="22">
        <f t="shared" si="49"/>
        <v>0.29154518950437325</v>
      </c>
      <c r="H96" s="22">
        <f t="shared" si="49"/>
        <v>0.20824656393169508</v>
      </c>
      <c r="I96" s="22">
        <f t="shared" si="49"/>
        <v>0.14874754566549653</v>
      </c>
      <c r="J96" s="22">
        <f t="shared" si="49"/>
        <v>0.10624824690392609</v>
      </c>
      <c r="K96" s="22">
        <f t="shared" si="49"/>
        <v>7.5891604931375811E-2</v>
      </c>
      <c r="L96" s="22">
        <f t="shared" si="49"/>
        <v>5.4208289236697071E-2</v>
      </c>
      <c r="M96" s="22">
        <f t="shared" si="49"/>
        <v>3.8720206597640638E-2</v>
      </c>
      <c r="N96" s="22">
        <f t="shared" si="49"/>
        <v>2.7657290426886142E-2</v>
      </c>
      <c r="P96" s="2"/>
      <c r="Q96" s="2"/>
      <c r="R96" s="2"/>
    </row>
    <row r="97" spans="2:18" s="5" customFormat="1" ht="15" customHeight="1" x14ac:dyDescent="0.45">
      <c r="B97" s="124"/>
      <c r="C97" s="124"/>
      <c r="D97" s="21" t="s">
        <v>60</v>
      </c>
      <c r="E97" s="22">
        <f>10*E95</f>
        <v>0.2857142857142857</v>
      </c>
      <c r="F97" s="22">
        <f>10*F95</f>
        <v>0.48979591836734698</v>
      </c>
      <c r="G97" s="22">
        <f>10*G95</f>
        <v>0.63556851311953366</v>
      </c>
      <c r="H97" s="22">
        <f t="shared" ref="H97:N97" si="50">10*H95</f>
        <v>0.73969179508538108</v>
      </c>
      <c r="I97" s="22">
        <f t="shared" si="50"/>
        <v>0.81406556791812945</v>
      </c>
      <c r="J97" s="22">
        <f t="shared" si="50"/>
        <v>0.8671896913700925</v>
      </c>
      <c r="K97" s="22">
        <f t="shared" si="50"/>
        <v>0.90513549383578029</v>
      </c>
      <c r="L97" s="22">
        <f t="shared" si="50"/>
        <v>0.93223963845412883</v>
      </c>
      <c r="M97" s="22">
        <f t="shared" si="50"/>
        <v>0.95159974175294926</v>
      </c>
      <c r="N97" s="22">
        <f t="shared" si="50"/>
        <v>0.96542838696639222</v>
      </c>
      <c r="P97" s="2"/>
      <c r="Q97" s="2"/>
      <c r="R97" s="2"/>
    </row>
    <row r="98" spans="2:18" s="5" customFormat="1" ht="15" customHeight="1" x14ac:dyDescent="0.45">
      <c r="B98" s="124"/>
      <c r="C98" s="125" t="s">
        <v>45</v>
      </c>
      <c r="D98" s="17" t="s">
        <v>55</v>
      </c>
      <c r="E98" s="18">
        <f>E93*E$16/$E$4</f>
        <v>0.08</v>
      </c>
      <c r="F98" s="18">
        <f t="shared" ref="F98:N98" si="51">F93*F$16/$E$4</f>
        <v>8.0000000000000016E-2</v>
      </c>
      <c r="G98" s="18">
        <f t="shared" si="51"/>
        <v>8.0000000000000029E-2</v>
      </c>
      <c r="H98" s="18">
        <f t="shared" si="51"/>
        <v>7.9999999999999988E-2</v>
      </c>
      <c r="I98" s="18">
        <f t="shared" si="51"/>
        <v>8.0000000000000016E-2</v>
      </c>
      <c r="J98" s="18">
        <f t="shared" si="51"/>
        <v>0.08</v>
      </c>
      <c r="K98" s="18">
        <f t="shared" si="51"/>
        <v>8.0000000000000043E-2</v>
      </c>
      <c r="L98" s="18">
        <f t="shared" si="51"/>
        <v>8.000000000000014E-2</v>
      </c>
      <c r="M98" s="18">
        <f t="shared" si="51"/>
        <v>7.9999999999999877E-2</v>
      </c>
      <c r="N98" s="18">
        <f t="shared" si="51"/>
        <v>7.9999999999999793E-2</v>
      </c>
      <c r="P98" s="2"/>
      <c r="Q98" s="2"/>
      <c r="R98" s="2"/>
    </row>
    <row r="99" spans="2:18" s="5" customFormat="1" ht="15" customHeight="1" x14ac:dyDescent="0.45">
      <c r="B99" s="124"/>
      <c r="C99" s="124"/>
      <c r="D99" s="21" t="s">
        <v>59</v>
      </c>
      <c r="E99" s="23">
        <f t="shared" ref="E99:N99" si="52">E96*E$16</f>
        <v>80000</v>
      </c>
      <c r="F99" s="23">
        <f t="shared" si="52"/>
        <v>80000</v>
      </c>
      <c r="G99" s="23">
        <f t="shared" si="52"/>
        <v>80000.000000000015</v>
      </c>
      <c r="H99" s="23">
        <f t="shared" si="52"/>
        <v>79999.999999999985</v>
      </c>
      <c r="I99" s="23">
        <f t="shared" si="52"/>
        <v>80000</v>
      </c>
      <c r="J99" s="23">
        <f t="shared" si="52"/>
        <v>80000</v>
      </c>
      <c r="K99" s="23">
        <f t="shared" si="52"/>
        <v>80000.000000000044</v>
      </c>
      <c r="L99" s="23">
        <f t="shared" si="52"/>
        <v>80000.000000000131</v>
      </c>
      <c r="M99" s="23">
        <f t="shared" si="52"/>
        <v>79999.999999999869</v>
      </c>
      <c r="N99" s="23">
        <f t="shared" si="52"/>
        <v>79999.999999999796</v>
      </c>
      <c r="P99" s="2"/>
      <c r="Q99" s="2"/>
      <c r="R99" s="2"/>
    </row>
    <row r="100" spans="2:18" s="5" customFormat="1" ht="15" customHeight="1" x14ac:dyDescent="0.45">
      <c r="B100" s="124"/>
      <c r="C100" s="124"/>
      <c r="D100" s="21" t="s">
        <v>60</v>
      </c>
      <c r="E100" s="23">
        <f>E99</f>
        <v>80000</v>
      </c>
      <c r="F100" s="23">
        <f>E100+F99</f>
        <v>160000</v>
      </c>
      <c r="G100" s="23">
        <f t="shared" ref="G100:N100" si="53">F100+G99</f>
        <v>240000</v>
      </c>
      <c r="H100" s="23">
        <f t="shared" si="53"/>
        <v>320000</v>
      </c>
      <c r="I100" s="23">
        <f t="shared" si="53"/>
        <v>400000</v>
      </c>
      <c r="J100" s="23">
        <f t="shared" si="53"/>
        <v>480000</v>
      </c>
      <c r="K100" s="23">
        <f t="shared" si="53"/>
        <v>560000</v>
      </c>
      <c r="L100" s="23">
        <f t="shared" si="53"/>
        <v>640000.00000000012</v>
      </c>
      <c r="M100" s="23">
        <f t="shared" si="53"/>
        <v>720000</v>
      </c>
      <c r="N100" s="23">
        <f t="shared" si="53"/>
        <v>799999.99999999977</v>
      </c>
      <c r="P100" s="2"/>
      <c r="Q100" s="2"/>
      <c r="R100" s="2"/>
    </row>
    <row r="101" spans="2:18" s="5" customFormat="1" ht="15" customHeight="1" x14ac:dyDescent="0.45">
      <c r="B101" s="124"/>
      <c r="C101" s="125" t="s">
        <v>44</v>
      </c>
      <c r="D101" s="17" t="s">
        <v>55</v>
      </c>
      <c r="E101" s="18">
        <f>E95*E$16/$E$4</f>
        <v>0.04</v>
      </c>
      <c r="F101" s="18">
        <f>F95*F$16/$E$4-E101</f>
        <v>5.6000000000000001E-2</v>
      </c>
      <c r="G101" s="18">
        <f>G95*G$16/$E$4-F101-E101</f>
        <v>7.8400000000000025E-2</v>
      </c>
      <c r="H101" s="18">
        <f>H95*H$16/$E$4-G101-F101-E101</f>
        <v>0.10976</v>
      </c>
      <c r="I101" s="18">
        <f>I95*I$16/$E$4-H101-G101-F101-E101</f>
        <v>0.153664</v>
      </c>
      <c r="J101" s="18">
        <f>J95*J$16/$E$4-I101-H101-G101-F101-E101</f>
        <v>0.2151296</v>
      </c>
      <c r="K101" s="18">
        <f>K95*K$16/$E$4-J101-I101-H101-G101-F101-E101</f>
        <v>0.30118144000000002</v>
      </c>
      <c r="L101" s="18">
        <f>L95*L$16/$E$4-K101-J101-I101-H101-G101-F101-E101</f>
        <v>0.42165401600000019</v>
      </c>
      <c r="M101" s="18">
        <f>M95*M$16/$E$4-L101-K101-J101-I101-H101-G101-F101-E101</f>
        <v>0.5903156223999998</v>
      </c>
      <c r="N101" s="18">
        <f>N95*N$16/$E$4-M101-L101-K101-J101-I101-H101-G101-F101-E101</f>
        <v>0.82644187135999991</v>
      </c>
      <c r="P101" s="2"/>
      <c r="Q101" s="2"/>
      <c r="R101" s="2"/>
    </row>
    <row r="102" spans="2:18" s="5" customFormat="1" ht="15" customHeight="1" x14ac:dyDescent="0.45">
      <c r="B102" s="124"/>
      <c r="C102" s="123"/>
      <c r="D102" s="17" t="s">
        <v>56</v>
      </c>
      <c r="E102" s="19"/>
      <c r="F102" s="19"/>
      <c r="G102" s="19"/>
      <c r="H102" s="19"/>
      <c r="I102" s="19">
        <f>SUM(E101:I101)/5</f>
        <v>8.7564799999999998E-2</v>
      </c>
      <c r="J102" s="19"/>
      <c r="K102" s="19"/>
      <c r="L102" s="19"/>
      <c r="M102" s="19"/>
      <c r="N102" s="19">
        <f>SUM(E101:N101)/10</f>
        <v>0.27925465497599999</v>
      </c>
      <c r="P102" s="2"/>
      <c r="Q102" s="2"/>
      <c r="R102" s="2"/>
    </row>
    <row r="103" spans="2:18" s="5" customFormat="1" ht="15" customHeight="1" x14ac:dyDescent="0.45">
      <c r="B103" s="124"/>
      <c r="C103" s="124"/>
      <c r="D103" s="21" t="s">
        <v>59</v>
      </c>
      <c r="E103" s="24">
        <f>E105</f>
        <v>40000</v>
      </c>
      <c r="F103" s="24">
        <f>F105-E105</f>
        <v>56000.000000000015</v>
      </c>
      <c r="G103" s="24">
        <f t="shared" ref="G103:N103" si="54">G105-F105</f>
        <v>78400.000000000015</v>
      </c>
      <c r="H103" s="24">
        <f t="shared" si="54"/>
        <v>109759.99999999997</v>
      </c>
      <c r="I103" s="24">
        <f t="shared" si="54"/>
        <v>153664.00000000006</v>
      </c>
      <c r="J103" s="24">
        <f t="shared" si="54"/>
        <v>215129.60000000003</v>
      </c>
      <c r="K103" s="24">
        <f t="shared" si="54"/>
        <v>301181.43999999994</v>
      </c>
      <c r="L103" s="24">
        <f t="shared" si="54"/>
        <v>421654.01600000006</v>
      </c>
      <c r="M103" s="24">
        <f t="shared" si="54"/>
        <v>590315.62240000023</v>
      </c>
      <c r="N103" s="24">
        <f t="shared" si="54"/>
        <v>826441.87135999999</v>
      </c>
      <c r="P103" s="2"/>
      <c r="Q103" s="2"/>
      <c r="R103" s="2"/>
    </row>
    <row r="104" spans="2:18" s="5" customFormat="1" ht="15" customHeight="1" x14ac:dyDescent="0.45">
      <c r="B104" s="124"/>
      <c r="C104" s="124"/>
      <c r="D104" s="21" t="s">
        <v>61</v>
      </c>
      <c r="E104" s="24"/>
      <c r="F104" s="24"/>
      <c r="G104" s="24"/>
      <c r="H104" s="24"/>
      <c r="I104" s="24">
        <f>SUM(E103:I103)/5</f>
        <v>87564.800000000017</v>
      </c>
      <c r="J104" s="24"/>
      <c r="K104" s="24"/>
      <c r="L104" s="24"/>
      <c r="M104" s="24"/>
      <c r="N104" s="24">
        <f>SUM(E103:N103)/10</f>
        <v>279254.65497600002</v>
      </c>
      <c r="P104" s="2"/>
      <c r="Q104" s="2"/>
      <c r="R104" s="2"/>
    </row>
    <row r="105" spans="2:18" s="5" customFormat="1" ht="15" customHeight="1" x14ac:dyDescent="0.45">
      <c r="B105" s="124"/>
      <c r="C105" s="124"/>
      <c r="D105" s="21" t="s">
        <v>60</v>
      </c>
      <c r="E105" s="23">
        <f t="shared" ref="E105:N105" si="55">E97*E$16</f>
        <v>40000</v>
      </c>
      <c r="F105" s="23">
        <f t="shared" si="55"/>
        <v>96000.000000000015</v>
      </c>
      <c r="G105" s="23">
        <f t="shared" si="55"/>
        <v>174400.00000000003</v>
      </c>
      <c r="H105" s="23">
        <f t="shared" si="55"/>
        <v>284160</v>
      </c>
      <c r="I105" s="23">
        <f t="shared" si="55"/>
        <v>437824.00000000006</v>
      </c>
      <c r="J105" s="23">
        <f t="shared" si="55"/>
        <v>652953.60000000009</v>
      </c>
      <c r="K105" s="23">
        <f t="shared" si="55"/>
        <v>954135.04000000004</v>
      </c>
      <c r="L105" s="23">
        <f t="shared" si="55"/>
        <v>1375789.0560000001</v>
      </c>
      <c r="M105" s="23">
        <f t="shared" si="55"/>
        <v>1966104.6784000003</v>
      </c>
      <c r="N105" s="23">
        <f t="shared" si="55"/>
        <v>2792546.5497600003</v>
      </c>
      <c r="P105" s="2"/>
      <c r="Q105" s="2"/>
      <c r="R105" s="2"/>
    </row>
    <row r="106" spans="2:18" s="5" customFormat="1" ht="15" customHeight="1" x14ac:dyDescent="0.45">
      <c r="B106" s="124" t="s">
        <v>17</v>
      </c>
      <c r="C106" s="123" t="s">
        <v>41</v>
      </c>
      <c r="D106" s="17" t="s">
        <v>55</v>
      </c>
      <c r="E106" s="18">
        <f>E$26*$D91</f>
        <v>3.0000000000000001E-3</v>
      </c>
      <c r="F106" s="18">
        <f t="shared" ref="F106:N106" si="56">F$26*$D91</f>
        <v>3.0000000000000001E-3</v>
      </c>
      <c r="G106" s="18">
        <f t="shared" si="56"/>
        <v>3.0000000000000001E-3</v>
      </c>
      <c r="H106" s="18">
        <f t="shared" si="56"/>
        <v>3.0000000000000001E-3</v>
      </c>
      <c r="I106" s="92">
        <f t="shared" si="56"/>
        <v>3.0000000000000001E-3</v>
      </c>
      <c r="J106" s="18">
        <f t="shared" si="56"/>
        <v>3.0000000000000001E-3</v>
      </c>
      <c r="K106" s="18">
        <f t="shared" si="56"/>
        <v>3.0000000000000001E-3</v>
      </c>
      <c r="L106" s="18">
        <f t="shared" si="56"/>
        <v>3.0000000000000001E-3</v>
      </c>
      <c r="M106" s="18">
        <f t="shared" si="56"/>
        <v>3.0000000000000001E-3</v>
      </c>
      <c r="N106" s="18">
        <f t="shared" si="56"/>
        <v>3.0000000000000001E-3</v>
      </c>
      <c r="P106" s="2"/>
      <c r="Q106" s="2"/>
      <c r="R106" s="2"/>
    </row>
    <row r="107" spans="2:18" s="5" customFormat="1" ht="15" customHeight="1" x14ac:dyDescent="0.45">
      <c r="B107" s="124"/>
      <c r="C107" s="123"/>
      <c r="D107" s="17" t="s">
        <v>53</v>
      </c>
      <c r="E107" s="18">
        <f>E$27*$D91</f>
        <v>3.0000000000000001E-3</v>
      </c>
      <c r="F107" s="18">
        <f t="shared" ref="F107:N107" si="57">F$27*$D91</f>
        <v>6.0000000000000001E-3</v>
      </c>
      <c r="G107" s="18">
        <f t="shared" si="57"/>
        <v>8.9999999999999993E-3</v>
      </c>
      <c r="H107" s="18">
        <f t="shared" si="57"/>
        <v>1.2E-2</v>
      </c>
      <c r="I107" s="18">
        <f t="shared" si="57"/>
        <v>1.4999999999999999E-2</v>
      </c>
      <c r="J107" s="18">
        <f t="shared" si="57"/>
        <v>1.7999999999999999E-2</v>
      </c>
      <c r="K107" s="18">
        <f t="shared" si="57"/>
        <v>2.1000000000000001E-2</v>
      </c>
      <c r="L107" s="18">
        <f t="shared" si="57"/>
        <v>2.4E-2</v>
      </c>
      <c r="M107" s="18">
        <f t="shared" si="57"/>
        <v>2.7000000000000003E-2</v>
      </c>
      <c r="N107" s="18">
        <f t="shared" si="57"/>
        <v>3.0000000000000006E-2</v>
      </c>
      <c r="P107" s="2"/>
      <c r="Q107" s="2"/>
      <c r="R107" s="2"/>
    </row>
    <row r="108" spans="2:18" s="5" customFormat="1" ht="15" customHeight="1" x14ac:dyDescent="0.45">
      <c r="B108" s="124"/>
      <c r="C108" s="124"/>
      <c r="D108" s="21" t="s">
        <v>59</v>
      </c>
      <c r="E108" s="22">
        <f>10*E106</f>
        <v>0.03</v>
      </c>
      <c r="F108" s="22">
        <f t="shared" ref="F108:N109" si="58">10*F106</f>
        <v>0.03</v>
      </c>
      <c r="G108" s="22">
        <f t="shared" si="58"/>
        <v>0.03</v>
      </c>
      <c r="H108" s="22">
        <f t="shared" si="58"/>
        <v>0.03</v>
      </c>
      <c r="I108" s="22">
        <f t="shared" si="58"/>
        <v>0.03</v>
      </c>
      <c r="J108" s="22">
        <f t="shared" si="58"/>
        <v>0.03</v>
      </c>
      <c r="K108" s="22">
        <f t="shared" si="58"/>
        <v>0.03</v>
      </c>
      <c r="L108" s="22">
        <f t="shared" si="58"/>
        <v>0.03</v>
      </c>
      <c r="M108" s="22">
        <f t="shared" si="58"/>
        <v>0.03</v>
      </c>
      <c r="N108" s="22">
        <f t="shared" si="58"/>
        <v>0.03</v>
      </c>
      <c r="P108" s="2"/>
      <c r="Q108" s="2"/>
      <c r="R108" s="2"/>
    </row>
    <row r="109" spans="2:18" s="5" customFormat="1" ht="15" customHeight="1" x14ac:dyDescent="0.45">
      <c r="B109" s="124"/>
      <c r="C109" s="124"/>
      <c r="D109" s="21" t="s">
        <v>60</v>
      </c>
      <c r="E109" s="22">
        <f>10*E107</f>
        <v>0.03</v>
      </c>
      <c r="F109" s="22">
        <f t="shared" si="58"/>
        <v>0.06</v>
      </c>
      <c r="G109" s="22">
        <f t="shared" si="58"/>
        <v>0.09</v>
      </c>
      <c r="H109" s="22">
        <f t="shared" si="58"/>
        <v>0.12</v>
      </c>
      <c r="I109" s="22">
        <f t="shared" si="58"/>
        <v>0.15</v>
      </c>
      <c r="J109" s="22">
        <f t="shared" si="58"/>
        <v>0.18</v>
      </c>
      <c r="K109" s="22">
        <f t="shared" si="58"/>
        <v>0.21000000000000002</v>
      </c>
      <c r="L109" s="22">
        <f t="shared" si="58"/>
        <v>0.24</v>
      </c>
      <c r="M109" s="22">
        <f t="shared" si="58"/>
        <v>0.27</v>
      </c>
      <c r="N109" s="22">
        <f t="shared" si="58"/>
        <v>0.30000000000000004</v>
      </c>
      <c r="P109" s="2"/>
      <c r="Q109" s="2"/>
      <c r="R109" s="2"/>
    </row>
    <row r="110" spans="2:18" s="5" customFormat="1" ht="15" customHeight="1" x14ac:dyDescent="0.45">
      <c r="B110" s="124"/>
      <c r="C110" s="125" t="s">
        <v>45</v>
      </c>
      <c r="D110" s="17" t="s">
        <v>55</v>
      </c>
      <c r="E110" s="18">
        <f>E106*E$16/$E$4</f>
        <v>4.1999999999999997E-3</v>
      </c>
      <c r="F110" s="18">
        <f t="shared" ref="F110:N110" si="59">F106*F$16/$E$4</f>
        <v>5.8799999999999998E-3</v>
      </c>
      <c r="G110" s="18">
        <f t="shared" si="59"/>
        <v>8.2319999999999997E-3</v>
      </c>
      <c r="H110" s="18">
        <f t="shared" si="59"/>
        <v>1.15248E-2</v>
      </c>
      <c r="I110" s="18">
        <f t="shared" si="59"/>
        <v>1.6134719999999998E-2</v>
      </c>
      <c r="J110" s="18">
        <f t="shared" si="59"/>
        <v>2.2588608E-2</v>
      </c>
      <c r="K110" s="18">
        <f t="shared" si="59"/>
        <v>3.1624051200000003E-2</v>
      </c>
      <c r="L110" s="18">
        <f t="shared" si="59"/>
        <v>4.4273671680000008E-2</v>
      </c>
      <c r="M110" s="18">
        <f t="shared" si="59"/>
        <v>6.1983140351999998E-2</v>
      </c>
      <c r="N110" s="18">
        <f t="shared" si="59"/>
        <v>8.6776396492800015E-2</v>
      </c>
      <c r="P110" s="2"/>
      <c r="Q110" s="2"/>
      <c r="R110" s="2"/>
    </row>
    <row r="111" spans="2:18" s="5" customFormat="1" ht="15" customHeight="1" x14ac:dyDescent="0.45">
      <c r="B111" s="124"/>
      <c r="C111" s="123"/>
      <c r="D111" s="17" t="s">
        <v>56</v>
      </c>
      <c r="E111" s="18"/>
      <c r="F111" s="18"/>
      <c r="G111" s="18"/>
      <c r="H111" s="18"/>
      <c r="I111" s="19">
        <f>SUM(E110:I110)/5</f>
        <v>9.1943039999999986E-3</v>
      </c>
      <c r="J111" s="19"/>
      <c r="K111" s="19"/>
      <c r="L111" s="19"/>
      <c r="M111" s="19"/>
      <c r="N111" s="19">
        <f>SUM(E110:N110)/10</f>
        <v>2.9321738772480004E-2</v>
      </c>
      <c r="P111" s="2"/>
      <c r="Q111" s="2"/>
      <c r="R111" s="2"/>
    </row>
    <row r="112" spans="2:18" s="5" customFormat="1" ht="15" customHeight="1" x14ac:dyDescent="0.45">
      <c r="B112" s="124"/>
      <c r="C112" s="124"/>
      <c r="D112" s="21" t="s">
        <v>59</v>
      </c>
      <c r="E112" s="25">
        <f t="shared" ref="E112:N112" si="60">E108*E$16</f>
        <v>4200</v>
      </c>
      <c r="F112" s="25">
        <f t="shared" si="60"/>
        <v>5880</v>
      </c>
      <c r="G112" s="25">
        <f t="shared" si="60"/>
        <v>8232</v>
      </c>
      <c r="H112" s="25">
        <f t="shared" si="60"/>
        <v>11524.8</v>
      </c>
      <c r="I112" s="25">
        <f t="shared" si="60"/>
        <v>16134.72</v>
      </c>
      <c r="J112" s="25">
        <f t="shared" si="60"/>
        <v>22588.608</v>
      </c>
      <c r="K112" s="25">
        <f t="shared" si="60"/>
        <v>31624.051200000002</v>
      </c>
      <c r="L112" s="25">
        <f t="shared" si="60"/>
        <v>44273.671679999999</v>
      </c>
      <c r="M112" s="25">
        <f t="shared" si="60"/>
        <v>61983.140352000002</v>
      </c>
      <c r="N112" s="25">
        <f t="shared" si="60"/>
        <v>86776.396492800006</v>
      </c>
      <c r="P112" s="2"/>
      <c r="Q112" s="2"/>
      <c r="R112" s="2"/>
    </row>
    <row r="113" spans="2:18" s="5" customFormat="1" ht="15" customHeight="1" x14ac:dyDescent="0.45">
      <c r="B113" s="124"/>
      <c r="C113" s="124"/>
      <c r="D113" s="21" t="s">
        <v>61</v>
      </c>
      <c r="E113" s="26"/>
      <c r="F113" s="26"/>
      <c r="G113" s="26"/>
      <c r="H113" s="26"/>
      <c r="I113" s="25">
        <f>SUM(E112:I112)/5</f>
        <v>9194.3040000000001</v>
      </c>
      <c r="J113" s="25"/>
      <c r="K113" s="25"/>
      <c r="L113" s="25"/>
      <c r="M113" s="25"/>
      <c r="N113" s="25">
        <f>SUM(E112:N112)/10</f>
        <v>29321.738772480003</v>
      </c>
      <c r="P113" s="2"/>
      <c r="Q113" s="2"/>
      <c r="R113" s="2"/>
    </row>
    <row r="114" spans="2:18" s="5" customFormat="1" ht="15" customHeight="1" x14ac:dyDescent="0.45">
      <c r="B114" s="124"/>
      <c r="C114" s="124"/>
      <c r="D114" s="21" t="s">
        <v>60</v>
      </c>
      <c r="E114" s="26">
        <f>E112</f>
        <v>4200</v>
      </c>
      <c r="F114" s="26">
        <f t="shared" ref="F114:N114" si="61">E114+F112</f>
        <v>10080</v>
      </c>
      <c r="G114" s="26">
        <f t="shared" si="61"/>
        <v>18312</v>
      </c>
      <c r="H114" s="26">
        <f t="shared" si="61"/>
        <v>29836.799999999999</v>
      </c>
      <c r="I114" s="26">
        <f t="shared" si="61"/>
        <v>45971.519999999997</v>
      </c>
      <c r="J114" s="26">
        <f t="shared" si="61"/>
        <v>68560.127999999997</v>
      </c>
      <c r="K114" s="26">
        <f t="shared" si="61"/>
        <v>100184.1792</v>
      </c>
      <c r="L114" s="26">
        <f t="shared" si="61"/>
        <v>144457.85087999998</v>
      </c>
      <c r="M114" s="26">
        <f t="shared" si="61"/>
        <v>206440.991232</v>
      </c>
      <c r="N114" s="26">
        <f t="shared" si="61"/>
        <v>293217.38772480004</v>
      </c>
      <c r="P114" s="2"/>
      <c r="Q114" s="2"/>
      <c r="R114" s="2"/>
    </row>
    <row r="115" spans="2:18" s="5" customFormat="1" ht="15" customHeight="1" x14ac:dyDescent="0.45">
      <c r="B115" s="124"/>
      <c r="C115" s="125" t="s">
        <v>44</v>
      </c>
      <c r="D115" s="17" t="s">
        <v>55</v>
      </c>
      <c r="E115" s="18">
        <f>E107*E$16/$E$4</f>
        <v>4.1999999999999997E-3</v>
      </c>
      <c r="F115" s="18">
        <f>F107*F$16/$E$4-E115</f>
        <v>7.5599999999999999E-3</v>
      </c>
      <c r="G115" s="18">
        <f>G107*G$16/$E$4-F115-E115</f>
        <v>1.2936E-2</v>
      </c>
      <c r="H115" s="18">
        <f>H107*H$16/$E$4-G115-F115-E115</f>
        <v>2.1403200000000004E-2</v>
      </c>
      <c r="I115" s="18">
        <f>I107*I$16/$E$4-H115-G115-F115-E115</f>
        <v>3.4574399999999998E-2</v>
      </c>
      <c r="J115" s="18">
        <f>J107*J$16/$E$4-I115-H115-G115-F115-E115</f>
        <v>5.4858047999999958E-2</v>
      </c>
      <c r="K115" s="18">
        <f>K107*K$16/$E$4-J115-I115-H115-G115-F115-E115</f>
        <v>8.5836710400000044E-2</v>
      </c>
      <c r="L115" s="18">
        <f>L107*L$16/$E$4-K115-J115-I115-H115-G115-F115-E115</f>
        <v>0.13282101504000005</v>
      </c>
      <c r="M115" s="18">
        <f>M107*M$16/$E$4-L115-K115-J115-I115-H115-G115-F115-E115</f>
        <v>0.20365888972800003</v>
      </c>
      <c r="N115" s="18">
        <f>N107*N$16/$E$4-M115-L115-K115-J115-I115-H115-G115-F115-E115</f>
        <v>0.30991570176000016</v>
      </c>
      <c r="P115" s="2"/>
      <c r="Q115" s="2"/>
      <c r="R115" s="2"/>
    </row>
    <row r="116" spans="2:18" s="5" customFormat="1" ht="15" customHeight="1" x14ac:dyDescent="0.45">
      <c r="B116" s="124"/>
      <c r="C116" s="123"/>
      <c r="D116" s="17" t="s">
        <v>56</v>
      </c>
      <c r="E116" s="19"/>
      <c r="F116" s="19"/>
      <c r="G116" s="19"/>
      <c r="H116" s="19"/>
      <c r="I116" s="19">
        <f>SUM(E115:I115)/5</f>
        <v>1.6134720000000002E-2</v>
      </c>
      <c r="J116" s="19"/>
      <c r="K116" s="19"/>
      <c r="L116" s="19"/>
      <c r="M116" s="19"/>
      <c r="N116" s="19">
        <f>SUM(E115:N115)/10</f>
        <v>8.6776396492800029E-2</v>
      </c>
      <c r="P116" s="2"/>
      <c r="Q116" s="2"/>
      <c r="R116" s="2"/>
    </row>
    <row r="117" spans="2:18" s="5" customFormat="1" ht="15" customHeight="1" x14ac:dyDescent="0.45">
      <c r="B117" s="124"/>
      <c r="C117" s="124"/>
      <c r="D117" s="21" t="s">
        <v>59</v>
      </c>
      <c r="E117" s="25">
        <f>E119</f>
        <v>4200</v>
      </c>
      <c r="F117" s="25">
        <f>F119-E119</f>
        <v>7560</v>
      </c>
      <c r="G117" s="25">
        <f>G119-F119</f>
        <v>12936</v>
      </c>
      <c r="H117" s="25">
        <f t="shared" ref="H117:N117" si="62">H119-G119</f>
        <v>21403.199999999997</v>
      </c>
      <c r="I117" s="25">
        <f t="shared" si="62"/>
        <v>34574.399999999994</v>
      </c>
      <c r="J117" s="25">
        <f t="shared" si="62"/>
        <v>54858.047999999995</v>
      </c>
      <c r="K117" s="25">
        <f t="shared" si="62"/>
        <v>85836.71040000004</v>
      </c>
      <c r="L117" s="25">
        <f t="shared" si="62"/>
        <v>132821.01503999997</v>
      </c>
      <c r="M117" s="25">
        <f t="shared" si="62"/>
        <v>203658.88972800004</v>
      </c>
      <c r="N117" s="25">
        <f t="shared" si="62"/>
        <v>309915.7017600002</v>
      </c>
      <c r="P117" s="2"/>
      <c r="Q117" s="2"/>
      <c r="R117" s="2"/>
    </row>
    <row r="118" spans="2:18" s="5" customFormat="1" ht="15" customHeight="1" x14ac:dyDescent="0.45">
      <c r="B118" s="124"/>
      <c r="C118" s="124"/>
      <c r="D118" s="21" t="s">
        <v>61</v>
      </c>
      <c r="E118" s="25"/>
      <c r="F118" s="25"/>
      <c r="G118" s="25"/>
      <c r="H118" s="25"/>
      <c r="I118" s="25">
        <f>SUM(E117:I117)/5</f>
        <v>16134.719999999998</v>
      </c>
      <c r="J118" s="25"/>
      <c r="K118" s="25"/>
      <c r="L118" s="25"/>
      <c r="M118" s="25"/>
      <c r="N118" s="25">
        <f>SUM(E117:N117)/10</f>
        <v>86776.39649280002</v>
      </c>
      <c r="P118" s="2"/>
      <c r="Q118" s="2"/>
      <c r="R118" s="2"/>
    </row>
    <row r="119" spans="2:18" s="5" customFormat="1" ht="15" customHeight="1" x14ac:dyDescent="0.45">
      <c r="B119" s="124"/>
      <c r="C119" s="124"/>
      <c r="D119" s="21" t="s">
        <v>60</v>
      </c>
      <c r="E119" s="26">
        <f t="shared" ref="E119:N119" si="63">E109*E$16</f>
        <v>4200</v>
      </c>
      <c r="F119" s="26">
        <f t="shared" si="63"/>
        <v>11760</v>
      </c>
      <c r="G119" s="26">
        <f t="shared" si="63"/>
        <v>24696</v>
      </c>
      <c r="H119" s="26">
        <f t="shared" si="63"/>
        <v>46099.199999999997</v>
      </c>
      <c r="I119" s="26">
        <f t="shared" si="63"/>
        <v>80673.599999999991</v>
      </c>
      <c r="J119" s="26">
        <f t="shared" si="63"/>
        <v>135531.64799999999</v>
      </c>
      <c r="K119" s="26">
        <f t="shared" si="63"/>
        <v>221368.35840000003</v>
      </c>
      <c r="L119" s="26">
        <f t="shared" si="63"/>
        <v>354189.37344</v>
      </c>
      <c r="M119" s="26">
        <f t="shared" si="63"/>
        <v>557848.26316800003</v>
      </c>
      <c r="N119" s="26">
        <f t="shared" si="63"/>
        <v>867763.96492800023</v>
      </c>
      <c r="P119" s="2"/>
      <c r="Q119" s="2"/>
      <c r="R119" s="2"/>
    </row>
    <row r="120" spans="2:18" ht="15" customHeight="1" x14ac:dyDescent="0.45">
      <c r="B120" s="100" t="s">
        <v>73</v>
      </c>
      <c r="C120" s="123" t="s">
        <v>41</v>
      </c>
      <c r="D120" s="17" t="s">
        <v>55</v>
      </c>
      <c r="E120" s="18">
        <f>E125*$E$4/E$16</f>
        <v>3.5714285714285712E-2</v>
      </c>
      <c r="F120" s="18">
        <f t="shared" ref="F120:N120" si="64">F125*$E$4/F$16</f>
        <v>2.5510204081632654E-2</v>
      </c>
      <c r="G120" s="18">
        <f t="shared" si="64"/>
        <v>1.8221574344023325E-2</v>
      </c>
      <c r="H120" s="18">
        <f t="shared" si="64"/>
        <v>1.3015410245730946E-2</v>
      </c>
      <c r="I120" s="18">
        <f t="shared" si="64"/>
        <v>9.296721604093533E-3</v>
      </c>
      <c r="J120" s="18">
        <f t="shared" si="64"/>
        <v>6.6405154314953807E-3</v>
      </c>
      <c r="K120" s="18">
        <f t="shared" si="64"/>
        <v>4.7432253082109856E-3</v>
      </c>
      <c r="L120" s="18">
        <f t="shared" si="64"/>
        <v>3.3880180772935613E-3</v>
      </c>
      <c r="M120" s="18">
        <f t="shared" si="64"/>
        <v>2.4200129123525438E-3</v>
      </c>
      <c r="N120" s="18">
        <f t="shared" si="64"/>
        <v>1.7285806516803882E-3</v>
      </c>
    </row>
    <row r="121" spans="2:18" ht="15" customHeight="1" x14ac:dyDescent="0.45">
      <c r="B121" s="101"/>
      <c r="C121" s="123"/>
      <c r="D121" s="17" t="s">
        <v>56</v>
      </c>
      <c r="E121" s="18"/>
      <c r="F121" s="18"/>
      <c r="G121" s="18"/>
      <c r="H121" s="18"/>
      <c r="I121" s="44">
        <f>SUM(E120:I120)/5</f>
        <v>2.0351639197953235E-2</v>
      </c>
      <c r="J121" s="18"/>
      <c r="K121" s="18"/>
      <c r="L121" s="18"/>
      <c r="M121" s="18"/>
      <c r="N121" s="19">
        <f>SUM(E120:N120)/10</f>
        <v>1.2067854837079903E-2</v>
      </c>
    </row>
    <row r="122" spans="2:18" ht="15" customHeight="1" x14ac:dyDescent="0.45">
      <c r="B122" s="101"/>
      <c r="C122" s="123"/>
      <c r="D122" s="17" t="s">
        <v>53</v>
      </c>
      <c r="E122" s="18">
        <f t="shared" ref="E122:N122" si="65">E$18*(E120/E$20)</f>
        <v>3.5714285714285712E-2</v>
      </c>
      <c r="F122" s="18">
        <f t="shared" si="65"/>
        <v>6.1224489795918366E-2</v>
      </c>
      <c r="G122" s="18">
        <f t="shared" si="65"/>
        <v>7.944606413994168E-2</v>
      </c>
      <c r="H122" s="18">
        <f t="shared" si="65"/>
        <v>9.2461474385672676E-2</v>
      </c>
      <c r="I122" s="18">
        <f t="shared" si="65"/>
        <v>0.10175819598976617</v>
      </c>
      <c r="J122" s="18">
        <f t="shared" si="65"/>
        <v>0.10839871142126155</v>
      </c>
      <c r="K122" s="18">
        <f t="shared" si="65"/>
        <v>0.11314193672947247</v>
      </c>
      <c r="L122" s="18">
        <f t="shared" si="65"/>
        <v>0.11652995480676591</v>
      </c>
      <c r="M122" s="18">
        <f t="shared" si="65"/>
        <v>0.11894996771911882</v>
      </c>
      <c r="N122" s="18">
        <f t="shared" si="65"/>
        <v>0.12067854837079935</v>
      </c>
    </row>
    <row r="123" spans="2:18" ht="15" customHeight="1" x14ac:dyDescent="0.45">
      <c r="B123" s="101"/>
      <c r="C123" s="124"/>
      <c r="D123" s="21" t="s">
        <v>59</v>
      </c>
      <c r="E123" s="22">
        <f>10*E120</f>
        <v>0.3571428571428571</v>
      </c>
      <c r="F123" s="22">
        <f t="shared" ref="F123:N123" si="66">10*F120</f>
        <v>0.25510204081632654</v>
      </c>
      <c r="G123" s="22">
        <f t="shared" si="66"/>
        <v>0.18221574344023325</v>
      </c>
      <c r="H123" s="22">
        <f t="shared" si="66"/>
        <v>0.13015410245730946</v>
      </c>
      <c r="I123" s="22">
        <f t="shared" si="66"/>
        <v>9.296721604093533E-2</v>
      </c>
      <c r="J123" s="22">
        <f t="shared" si="66"/>
        <v>6.6405154314953807E-2</v>
      </c>
      <c r="K123" s="22">
        <f t="shared" si="66"/>
        <v>4.7432253082109854E-2</v>
      </c>
      <c r="L123" s="22">
        <f t="shared" si="66"/>
        <v>3.3880180772935614E-2</v>
      </c>
      <c r="M123" s="22">
        <f t="shared" si="66"/>
        <v>2.4200129123525437E-2</v>
      </c>
      <c r="N123" s="22">
        <f t="shared" si="66"/>
        <v>1.7285806516803882E-2</v>
      </c>
      <c r="R123" s="13"/>
    </row>
    <row r="124" spans="2:18" ht="15" customHeight="1" x14ac:dyDescent="0.45">
      <c r="B124" s="101"/>
      <c r="C124" s="124"/>
      <c r="D124" s="21" t="s">
        <v>60</v>
      </c>
      <c r="E124" s="22">
        <f>10*E122</f>
        <v>0.3571428571428571</v>
      </c>
      <c r="F124" s="22">
        <f>10*F122</f>
        <v>0.61224489795918369</v>
      </c>
      <c r="G124" s="22">
        <f>10*G122</f>
        <v>0.79446064139941686</v>
      </c>
      <c r="H124" s="22">
        <f t="shared" ref="H124:N124" si="67">10*H122</f>
        <v>0.92461474385672671</v>
      </c>
      <c r="I124" s="22">
        <f t="shared" si="67"/>
        <v>1.0175819598976616</v>
      </c>
      <c r="J124" s="22">
        <f t="shared" si="67"/>
        <v>1.0839871142126154</v>
      </c>
      <c r="K124" s="22">
        <f t="shared" si="67"/>
        <v>1.1314193672947246</v>
      </c>
      <c r="L124" s="22">
        <f t="shared" si="67"/>
        <v>1.1652995480676591</v>
      </c>
      <c r="M124" s="22">
        <f t="shared" si="67"/>
        <v>1.1894996771911883</v>
      </c>
      <c r="N124" s="22">
        <f t="shared" si="67"/>
        <v>1.2067854837079934</v>
      </c>
      <c r="R124" s="13"/>
    </row>
    <row r="125" spans="2:18" ht="15" customHeight="1" x14ac:dyDescent="0.45">
      <c r="B125" s="101"/>
      <c r="C125" s="125" t="s">
        <v>45</v>
      </c>
      <c r="D125" s="17" t="s">
        <v>55</v>
      </c>
      <c r="E125" s="18">
        <f>$E$11*$E$12</f>
        <v>0.05</v>
      </c>
      <c r="F125" s="18">
        <f t="shared" ref="F125:N125" si="68">$E$11*$E$12</f>
        <v>0.05</v>
      </c>
      <c r="G125" s="18">
        <f t="shared" si="68"/>
        <v>0.05</v>
      </c>
      <c r="H125" s="18">
        <f t="shared" si="68"/>
        <v>0.05</v>
      </c>
      <c r="I125" s="18">
        <f t="shared" si="68"/>
        <v>0.05</v>
      </c>
      <c r="J125" s="18">
        <f t="shared" si="68"/>
        <v>0.05</v>
      </c>
      <c r="K125" s="18">
        <f t="shared" si="68"/>
        <v>0.05</v>
      </c>
      <c r="L125" s="18">
        <f t="shared" si="68"/>
        <v>0.05</v>
      </c>
      <c r="M125" s="18">
        <f t="shared" si="68"/>
        <v>0.05</v>
      </c>
      <c r="N125" s="18">
        <f t="shared" si="68"/>
        <v>0.05</v>
      </c>
    </row>
    <row r="126" spans="2:18" ht="15" customHeight="1" x14ac:dyDescent="0.45">
      <c r="B126" s="101"/>
      <c r="C126" s="124"/>
      <c r="D126" s="21" t="s">
        <v>59</v>
      </c>
      <c r="E126" s="23">
        <f>E123*E$16</f>
        <v>49999.999999999993</v>
      </c>
      <c r="F126" s="23">
        <f t="shared" ref="F126:N126" si="69">F123*F$16</f>
        <v>50000</v>
      </c>
      <c r="G126" s="23">
        <f t="shared" si="69"/>
        <v>50000.000000000007</v>
      </c>
      <c r="H126" s="23">
        <f t="shared" si="69"/>
        <v>50000</v>
      </c>
      <c r="I126" s="23">
        <f t="shared" si="69"/>
        <v>50000</v>
      </c>
      <c r="J126" s="23">
        <f t="shared" si="69"/>
        <v>50000</v>
      </c>
      <c r="K126" s="23">
        <f t="shared" si="69"/>
        <v>49999.999999999993</v>
      </c>
      <c r="L126" s="23">
        <f t="shared" si="69"/>
        <v>50000.000000000007</v>
      </c>
      <c r="M126" s="23">
        <f t="shared" si="69"/>
        <v>50000</v>
      </c>
      <c r="N126" s="23">
        <f t="shared" si="69"/>
        <v>50000</v>
      </c>
    </row>
    <row r="127" spans="2:18" ht="15" customHeight="1" x14ac:dyDescent="0.45">
      <c r="B127" s="101"/>
      <c r="C127" s="124"/>
      <c r="D127" s="21" t="s">
        <v>60</v>
      </c>
      <c r="E127" s="23">
        <f>E126</f>
        <v>49999.999999999993</v>
      </c>
      <c r="F127" s="23">
        <f>E127+F126</f>
        <v>100000</v>
      </c>
      <c r="G127" s="23">
        <f t="shared" ref="G127:N127" si="70">F127+G126</f>
        <v>150000</v>
      </c>
      <c r="H127" s="23">
        <f t="shared" si="70"/>
        <v>200000</v>
      </c>
      <c r="I127" s="23">
        <f t="shared" si="70"/>
        <v>250000</v>
      </c>
      <c r="J127" s="23">
        <f t="shared" si="70"/>
        <v>300000</v>
      </c>
      <c r="K127" s="23">
        <f t="shared" si="70"/>
        <v>350000</v>
      </c>
      <c r="L127" s="23">
        <f t="shared" si="70"/>
        <v>400000</v>
      </c>
      <c r="M127" s="23">
        <f t="shared" si="70"/>
        <v>450000</v>
      </c>
      <c r="N127" s="23">
        <f t="shared" si="70"/>
        <v>500000</v>
      </c>
    </row>
    <row r="128" spans="2:18" ht="15" customHeight="1" x14ac:dyDescent="0.45">
      <c r="B128" s="101"/>
      <c r="C128" s="125" t="s">
        <v>44</v>
      </c>
      <c r="D128" s="17" t="s">
        <v>55</v>
      </c>
      <c r="E128" s="18">
        <f>E122*E$16/$E$4</f>
        <v>0.05</v>
      </c>
      <c r="F128" s="18">
        <f>F122*F$16/$E$4-E128</f>
        <v>6.9999999999999993E-2</v>
      </c>
      <c r="G128" s="18">
        <f>G122*G$16/$E$4-F128-E128</f>
        <v>9.7999999999999962E-2</v>
      </c>
      <c r="H128" s="18">
        <f>H122*H$16/$E$4-G128-F128-E128</f>
        <v>0.13720000000000016</v>
      </c>
      <c r="I128" s="18">
        <f>I122*I$16/$E$4-H128-G128-F128-E128</f>
        <v>0.19207999999999986</v>
      </c>
      <c r="J128" s="18">
        <f>J122*J$16/$E$4-I128-H128-G128-F128-E128</f>
        <v>0.26891199999999987</v>
      </c>
      <c r="K128" s="18">
        <f>K122*K$16/$E$4-J128-I128-H128-G128-F128-E128</f>
        <v>0.37647679999999961</v>
      </c>
      <c r="L128" s="18">
        <f>L122*L$16/$E$4-K128-J128-I128-H128-G128-F128-E128</f>
        <v>0.5270675199999979</v>
      </c>
      <c r="M128" s="18">
        <f>M122*M$16/$E$4-L128-K128-J128-I128-H128-G128-F128-E128</f>
        <v>0.73789452800000666</v>
      </c>
      <c r="N128" s="18">
        <f>N122*N$16/$E$4-M128-L128-K128-J128-I128-H128-G128-F128-E128</f>
        <v>1.0330523392000059</v>
      </c>
      <c r="R128" s="16"/>
    </row>
    <row r="129" spans="1:18" ht="15" customHeight="1" x14ac:dyDescent="0.45">
      <c r="B129" s="101"/>
      <c r="C129" s="123"/>
      <c r="D129" s="17" t="s">
        <v>56</v>
      </c>
      <c r="E129" s="19"/>
      <c r="F129" s="19"/>
      <c r="G129" s="19"/>
      <c r="H129" s="19"/>
      <c r="I129" s="19">
        <f>SUM(E128:I128)/5</f>
        <v>0.109456</v>
      </c>
      <c r="J129" s="19"/>
      <c r="K129" s="19"/>
      <c r="L129" s="19"/>
      <c r="M129" s="19"/>
      <c r="N129" s="19">
        <f>SUM(E128:N128)/10</f>
        <v>0.34906831872000099</v>
      </c>
    </row>
    <row r="130" spans="1:18" ht="15" customHeight="1" x14ac:dyDescent="0.45">
      <c r="B130" s="101"/>
      <c r="C130" s="124"/>
      <c r="D130" s="21" t="s">
        <v>59</v>
      </c>
      <c r="E130" s="24">
        <f>E132</f>
        <v>49999.999999999993</v>
      </c>
      <c r="F130" s="24">
        <f>F132-E132</f>
        <v>70000</v>
      </c>
      <c r="G130" s="24">
        <f t="shared" ref="G130:N130" si="71">G132-F132</f>
        <v>97999.999999999971</v>
      </c>
      <c r="H130" s="24">
        <f t="shared" si="71"/>
        <v>137200.00000000015</v>
      </c>
      <c r="I130" s="24">
        <f t="shared" si="71"/>
        <v>192079.99999999988</v>
      </c>
      <c r="J130" s="24">
        <f t="shared" si="71"/>
        <v>268911.99999999988</v>
      </c>
      <c r="K130" s="24">
        <f t="shared" si="71"/>
        <v>376476.79999999946</v>
      </c>
      <c r="L130" s="24">
        <f t="shared" si="71"/>
        <v>527067.51999999816</v>
      </c>
      <c r="M130" s="24">
        <f t="shared" si="71"/>
        <v>737894.52800000645</v>
      </c>
      <c r="N130" s="24">
        <f t="shared" si="71"/>
        <v>1033052.3392000054</v>
      </c>
    </row>
    <row r="131" spans="1:18" ht="15" customHeight="1" x14ac:dyDescent="0.45">
      <c r="B131" s="101"/>
      <c r="C131" s="124"/>
      <c r="D131" s="21" t="s">
        <v>61</v>
      </c>
      <c r="E131" s="24"/>
      <c r="F131" s="24"/>
      <c r="G131" s="24"/>
      <c r="H131" s="24"/>
      <c r="I131" s="24">
        <f>SUM(E130:I130)/5</f>
        <v>109456</v>
      </c>
      <c r="J131" s="24"/>
      <c r="K131" s="24"/>
      <c r="L131" s="24"/>
      <c r="M131" s="24"/>
      <c r="N131" s="24">
        <f>SUM(E130:N130)/10</f>
        <v>349068.31872000091</v>
      </c>
    </row>
    <row r="132" spans="1:18" ht="15" customHeight="1" x14ac:dyDescent="0.45">
      <c r="B132" s="102"/>
      <c r="C132" s="124"/>
      <c r="D132" s="21" t="s">
        <v>60</v>
      </c>
      <c r="E132" s="23">
        <f t="shared" ref="E132:N132" si="72">E124*E$16</f>
        <v>49999.999999999993</v>
      </c>
      <c r="F132" s="23">
        <f t="shared" si="72"/>
        <v>120000</v>
      </c>
      <c r="G132" s="23">
        <f t="shared" si="72"/>
        <v>217999.99999999997</v>
      </c>
      <c r="H132" s="23">
        <f t="shared" si="72"/>
        <v>355200.00000000012</v>
      </c>
      <c r="I132" s="23">
        <f t="shared" si="72"/>
        <v>547280</v>
      </c>
      <c r="J132" s="23">
        <f t="shared" si="72"/>
        <v>816191.99999999988</v>
      </c>
      <c r="K132" s="23">
        <f t="shared" si="72"/>
        <v>1192668.7999999993</v>
      </c>
      <c r="L132" s="23">
        <f t="shared" si="72"/>
        <v>1719736.3199999975</v>
      </c>
      <c r="M132" s="23">
        <f t="shared" si="72"/>
        <v>2457630.848000004</v>
      </c>
      <c r="N132" s="23">
        <f t="shared" si="72"/>
        <v>3490683.1872000094</v>
      </c>
    </row>
    <row r="133" spans="1:18" s="5" customFormat="1" ht="15" customHeight="1" x14ac:dyDescent="0.45">
      <c r="B133" s="124" t="s">
        <v>18</v>
      </c>
      <c r="C133" s="123" t="s">
        <v>41</v>
      </c>
      <c r="D133" s="17" t="s">
        <v>55</v>
      </c>
      <c r="E133" s="18">
        <f>E93+E106+E120</f>
        <v>9.5857142857142863E-2</v>
      </c>
      <c r="F133" s="18">
        <f t="shared" ref="F133:N133" si="73">F93+F106+F120</f>
        <v>6.9326530612244905E-2</v>
      </c>
      <c r="G133" s="18">
        <f t="shared" si="73"/>
        <v>5.0376093294460647E-2</v>
      </c>
      <c r="H133" s="18">
        <f t="shared" si="73"/>
        <v>3.6840066638900451E-2</v>
      </c>
      <c r="I133" s="18">
        <f t="shared" si="73"/>
        <v>2.7171476170643187E-2</v>
      </c>
      <c r="J133" s="18">
        <f t="shared" si="73"/>
        <v>2.0265340121887989E-2</v>
      </c>
      <c r="K133" s="18">
        <f t="shared" si="73"/>
        <v>1.5332385801348568E-2</v>
      </c>
      <c r="L133" s="18">
        <f t="shared" si="73"/>
        <v>1.180884700096327E-2</v>
      </c>
      <c r="M133" s="18">
        <f t="shared" si="73"/>
        <v>9.2920335721166075E-3</v>
      </c>
      <c r="N133" s="18">
        <f t="shared" si="73"/>
        <v>7.4943096943690017E-3</v>
      </c>
      <c r="P133" s="2"/>
      <c r="Q133" s="2"/>
      <c r="R133" s="2"/>
    </row>
    <row r="134" spans="1:18" s="5" customFormat="1" ht="15" customHeight="1" x14ac:dyDescent="0.45">
      <c r="B134" s="124"/>
      <c r="C134" s="123"/>
      <c r="D134" s="17" t="s">
        <v>56</v>
      </c>
      <c r="E134" s="18"/>
      <c r="F134" s="18"/>
      <c r="G134" s="18"/>
      <c r="H134" s="18"/>
      <c r="I134" s="44">
        <f>SUM(E133:I133)/5</f>
        <v>5.5914261914678409E-2</v>
      </c>
      <c r="J134" s="18"/>
      <c r="K134" s="18"/>
      <c r="L134" s="18"/>
      <c r="M134" s="18"/>
      <c r="N134" s="19">
        <f>SUM(E133:N133)/10</f>
        <v>3.4376422576407745E-2</v>
      </c>
      <c r="P134" s="2"/>
      <c r="Q134" s="2"/>
      <c r="R134" s="2"/>
    </row>
    <row r="135" spans="1:18" ht="15" customHeight="1" x14ac:dyDescent="0.45">
      <c r="B135" s="124"/>
      <c r="C135" s="123"/>
      <c r="D135" s="17" t="s">
        <v>53</v>
      </c>
      <c r="E135" s="18">
        <f>E95+E107</f>
        <v>3.157142857142857E-2</v>
      </c>
      <c r="F135" s="18">
        <f t="shared" ref="F135:N135" si="74">F95+F107</f>
        <v>5.4979591836734697E-2</v>
      </c>
      <c r="G135" s="18">
        <f t="shared" si="74"/>
        <v>7.2556851311953358E-2</v>
      </c>
      <c r="H135" s="18">
        <f t="shared" si="74"/>
        <v>8.5969179508538107E-2</v>
      </c>
      <c r="I135" s="18">
        <f t="shared" si="74"/>
        <v>9.6406556791812939E-2</v>
      </c>
      <c r="J135" s="18">
        <f t="shared" si="74"/>
        <v>0.10471896913700925</v>
      </c>
      <c r="K135" s="18">
        <f t="shared" si="74"/>
        <v>0.11151354938357803</v>
      </c>
      <c r="L135" s="18">
        <f t="shared" si="74"/>
        <v>0.11722396384541289</v>
      </c>
      <c r="M135" s="18">
        <f t="shared" si="74"/>
        <v>0.12215997417529492</v>
      </c>
      <c r="N135" s="18">
        <f t="shared" si="74"/>
        <v>0.12654283869663924</v>
      </c>
    </row>
    <row r="136" spans="1:18" ht="15" customHeight="1" x14ac:dyDescent="0.45">
      <c r="B136" s="124"/>
      <c r="C136" s="124"/>
      <c r="D136" s="21" t="s">
        <v>59</v>
      </c>
      <c r="E136" s="22">
        <f>10*E133</f>
        <v>0.95857142857142863</v>
      </c>
      <c r="F136" s="22">
        <f t="shared" ref="F136:N136" si="75">10*F133</f>
        <v>0.69326530612244908</v>
      </c>
      <c r="G136" s="22">
        <f t="shared" si="75"/>
        <v>0.50376093294460644</v>
      </c>
      <c r="H136" s="22">
        <f t="shared" si="75"/>
        <v>0.36840066638900448</v>
      </c>
      <c r="I136" s="22">
        <f t="shared" si="75"/>
        <v>0.27171476170643188</v>
      </c>
      <c r="J136" s="22">
        <f t="shared" si="75"/>
        <v>0.2026534012188799</v>
      </c>
      <c r="K136" s="22">
        <f t="shared" si="75"/>
        <v>0.15332385801348569</v>
      </c>
      <c r="L136" s="22">
        <f t="shared" si="75"/>
        <v>0.1180884700096327</v>
      </c>
      <c r="M136" s="22">
        <f t="shared" si="75"/>
        <v>9.2920335721166078E-2</v>
      </c>
      <c r="N136" s="22">
        <f t="shared" si="75"/>
        <v>7.4943096943690016E-2</v>
      </c>
    </row>
    <row r="137" spans="1:18" ht="15" customHeight="1" x14ac:dyDescent="0.45">
      <c r="B137" s="124"/>
      <c r="C137" s="124"/>
      <c r="D137" s="21" t="s">
        <v>60</v>
      </c>
      <c r="E137" s="22">
        <f>10*E135</f>
        <v>0.31571428571428573</v>
      </c>
      <c r="F137" s="22">
        <f>10*F135</f>
        <v>0.54979591836734698</v>
      </c>
      <c r="G137" s="22">
        <f>10*G135</f>
        <v>0.72556851311953352</v>
      </c>
      <c r="H137" s="22">
        <f t="shared" ref="H137:N137" si="76">10*H135</f>
        <v>0.85969179508538107</v>
      </c>
      <c r="I137" s="22">
        <f t="shared" si="76"/>
        <v>0.96406556791812936</v>
      </c>
      <c r="J137" s="22">
        <f t="shared" si="76"/>
        <v>1.0471896913700924</v>
      </c>
      <c r="K137" s="22">
        <f t="shared" si="76"/>
        <v>1.1151354938357803</v>
      </c>
      <c r="L137" s="22">
        <f t="shared" si="76"/>
        <v>1.1722396384541289</v>
      </c>
      <c r="M137" s="22">
        <f t="shared" si="76"/>
        <v>1.2215997417529492</v>
      </c>
      <c r="N137" s="22">
        <f t="shared" si="76"/>
        <v>1.2654283869663923</v>
      </c>
    </row>
    <row r="138" spans="1:18" ht="15" customHeight="1" x14ac:dyDescent="0.45">
      <c r="B138" s="124"/>
      <c r="C138" s="125" t="s">
        <v>45</v>
      </c>
      <c r="D138" s="17" t="s">
        <v>55</v>
      </c>
      <c r="E138" s="18">
        <f>E98+E110+E125</f>
        <v>0.13419999999999999</v>
      </c>
      <c r="F138" s="18">
        <f t="shared" ref="F138:N138" si="77">F98+F110+F125</f>
        <v>0.13588</v>
      </c>
      <c r="G138" s="18">
        <f t="shared" si="77"/>
        <v>0.13823200000000002</v>
      </c>
      <c r="H138" s="18">
        <f t="shared" si="77"/>
        <v>0.14152480000000001</v>
      </c>
      <c r="I138" s="18">
        <f t="shared" si="77"/>
        <v>0.14613472</v>
      </c>
      <c r="J138" s="18">
        <f t="shared" si="77"/>
        <v>0.15258860800000001</v>
      </c>
      <c r="K138" s="18">
        <f t="shared" si="77"/>
        <v>0.16162405120000006</v>
      </c>
      <c r="L138" s="18">
        <f t="shared" si="77"/>
        <v>0.17427367168000013</v>
      </c>
      <c r="M138" s="18">
        <f t="shared" si="77"/>
        <v>0.19198314035199987</v>
      </c>
      <c r="N138" s="18">
        <f t="shared" si="77"/>
        <v>0.21677639649279978</v>
      </c>
    </row>
    <row r="139" spans="1:18" ht="15" customHeight="1" x14ac:dyDescent="0.45">
      <c r="B139" s="124"/>
      <c r="C139" s="123"/>
      <c r="D139" s="17" t="s">
        <v>56</v>
      </c>
      <c r="E139" s="18"/>
      <c r="F139" s="18"/>
      <c r="G139" s="18"/>
      <c r="H139" s="18"/>
      <c r="I139" s="19">
        <f>SUM(E138:I138)/5</f>
        <v>0.13919430400000002</v>
      </c>
      <c r="J139" s="19"/>
      <c r="K139" s="19"/>
      <c r="L139" s="19"/>
      <c r="M139" s="19"/>
      <c r="N139" s="19">
        <f>SUM(E138:N138)/10</f>
        <v>0.15932173877247999</v>
      </c>
    </row>
    <row r="140" spans="1:18" ht="15" customHeight="1" x14ac:dyDescent="0.45">
      <c r="B140" s="124"/>
      <c r="C140" s="124"/>
      <c r="D140" s="21" t="s">
        <v>59</v>
      </c>
      <c r="E140" s="24">
        <f t="shared" ref="E140:N140" si="78">E136*E$16</f>
        <v>134200</v>
      </c>
      <c r="F140" s="24">
        <f t="shared" si="78"/>
        <v>135880.00000000003</v>
      </c>
      <c r="G140" s="24">
        <f t="shared" si="78"/>
        <v>138232</v>
      </c>
      <c r="H140" s="24">
        <f t="shared" si="78"/>
        <v>141524.79999999996</v>
      </c>
      <c r="I140" s="24">
        <f t="shared" si="78"/>
        <v>146134.72000000003</v>
      </c>
      <c r="J140" s="24">
        <f t="shared" si="78"/>
        <v>152588.60800000001</v>
      </c>
      <c r="K140" s="24">
        <f t="shared" si="78"/>
        <v>161624.05120000007</v>
      </c>
      <c r="L140" s="24">
        <f t="shared" si="78"/>
        <v>174273.67168000017</v>
      </c>
      <c r="M140" s="24">
        <f t="shared" si="78"/>
        <v>191983.14035199987</v>
      </c>
      <c r="N140" s="24">
        <f t="shared" si="78"/>
        <v>216776.39649279977</v>
      </c>
    </row>
    <row r="141" spans="1:18" ht="15" customHeight="1" x14ac:dyDescent="0.45">
      <c r="B141" s="124"/>
      <c r="C141" s="124"/>
      <c r="D141" s="21" t="s">
        <v>61</v>
      </c>
      <c r="E141" s="23"/>
      <c r="F141" s="23"/>
      <c r="G141" s="23"/>
      <c r="H141" s="23"/>
      <c r="I141" s="24">
        <f>SUM(E140:I140)/5</f>
        <v>139194.304</v>
      </c>
      <c r="J141" s="24"/>
      <c r="K141" s="24"/>
      <c r="L141" s="24"/>
      <c r="M141" s="24"/>
      <c r="N141" s="24">
        <f>SUM(E140:N140)/10</f>
        <v>159321.73877247999</v>
      </c>
    </row>
    <row r="142" spans="1:18" ht="15" customHeight="1" x14ac:dyDescent="0.45">
      <c r="B142" s="124"/>
      <c r="C142" s="124"/>
      <c r="D142" s="21" t="s">
        <v>60</v>
      </c>
      <c r="E142" s="23">
        <f>E140</f>
        <v>134200</v>
      </c>
      <c r="F142" s="23">
        <f t="shared" ref="F142:N142" si="79">E142+F140</f>
        <v>270080</v>
      </c>
      <c r="G142" s="23">
        <f t="shared" si="79"/>
        <v>408312</v>
      </c>
      <c r="H142" s="23">
        <f t="shared" si="79"/>
        <v>549836.79999999993</v>
      </c>
      <c r="I142" s="23">
        <f t="shared" si="79"/>
        <v>695971.52</v>
      </c>
      <c r="J142" s="23">
        <f t="shared" si="79"/>
        <v>848560.12800000003</v>
      </c>
      <c r="K142" s="23">
        <f t="shared" si="79"/>
        <v>1010184.1792000001</v>
      </c>
      <c r="L142" s="23">
        <f t="shared" si="79"/>
        <v>1184457.8508800003</v>
      </c>
      <c r="M142" s="23">
        <f t="shared" si="79"/>
        <v>1376440.9912320001</v>
      </c>
      <c r="N142" s="23">
        <f t="shared" si="79"/>
        <v>1593217.3877247998</v>
      </c>
    </row>
    <row r="143" spans="1:18" ht="15" customHeight="1" x14ac:dyDescent="0.45">
      <c r="B143" s="124"/>
      <c r="C143" s="125" t="s">
        <v>44</v>
      </c>
      <c r="D143" s="17" t="s">
        <v>55</v>
      </c>
      <c r="E143" s="18">
        <f>E101+E115+E128</f>
        <v>9.4200000000000006E-2</v>
      </c>
      <c r="F143" s="18">
        <f t="shared" ref="F143:N143" si="80">F101+F115+F128</f>
        <v>0.13356000000000001</v>
      </c>
      <c r="G143" s="18">
        <f t="shared" si="80"/>
        <v>0.189336</v>
      </c>
      <c r="H143" s="18">
        <f t="shared" si="80"/>
        <v>0.26836320000000013</v>
      </c>
      <c r="I143" s="18">
        <f t="shared" si="80"/>
        <v>0.38031839999999983</v>
      </c>
      <c r="J143" s="18">
        <f t="shared" si="80"/>
        <v>0.5388996479999999</v>
      </c>
      <c r="K143" s="18">
        <f t="shared" si="80"/>
        <v>0.76349495039999971</v>
      </c>
      <c r="L143" s="18">
        <f t="shared" si="80"/>
        <v>1.0815425510399981</v>
      </c>
      <c r="M143" s="18">
        <f t="shared" si="80"/>
        <v>1.5318690401280066</v>
      </c>
      <c r="N143" s="18">
        <f t="shared" si="80"/>
        <v>2.1694099123200061</v>
      </c>
    </row>
    <row r="144" spans="1:18" ht="15" customHeight="1" x14ac:dyDescent="0.45">
      <c r="A144" s="9"/>
      <c r="B144" s="124"/>
      <c r="C144" s="123"/>
      <c r="D144" s="17" t="s">
        <v>56</v>
      </c>
      <c r="E144" s="19"/>
      <c r="F144" s="19"/>
      <c r="G144" s="19"/>
      <c r="H144" s="19"/>
      <c r="I144" s="19">
        <f>SUM(E143:I143)/5</f>
        <v>0.21315552000000001</v>
      </c>
      <c r="J144" s="19"/>
      <c r="K144" s="19"/>
      <c r="L144" s="19"/>
      <c r="M144" s="19"/>
      <c r="N144" s="19">
        <f>SUM(E143:N143)/10</f>
        <v>0.7150993701888011</v>
      </c>
      <c r="O144" s="9"/>
    </row>
    <row r="145" spans="2:18" ht="15" customHeight="1" x14ac:dyDescent="0.45">
      <c r="B145" s="124"/>
      <c r="C145" s="124"/>
      <c r="D145" s="21" t="s">
        <v>59</v>
      </c>
      <c r="E145" s="24">
        <f>E147</f>
        <v>44200</v>
      </c>
      <c r="F145" s="24">
        <f>F147-E147</f>
        <v>63560.000000000015</v>
      </c>
      <c r="G145" s="24">
        <f>G147-F147</f>
        <v>91335.999999999985</v>
      </c>
      <c r="H145" s="24">
        <f t="shared" ref="H145:N145" si="81">H147-G147</f>
        <v>131163.20000000001</v>
      </c>
      <c r="I145" s="24">
        <f t="shared" si="81"/>
        <v>188238.40000000002</v>
      </c>
      <c r="J145" s="24">
        <f t="shared" si="81"/>
        <v>269987.64799999999</v>
      </c>
      <c r="K145" s="24">
        <f t="shared" si="81"/>
        <v>387018.15040000004</v>
      </c>
      <c r="L145" s="24">
        <f t="shared" si="81"/>
        <v>554475.03104000026</v>
      </c>
      <c r="M145" s="24">
        <f t="shared" si="81"/>
        <v>793974.51212799991</v>
      </c>
      <c r="N145" s="24">
        <f t="shared" si="81"/>
        <v>1136357.5731200003</v>
      </c>
    </row>
    <row r="146" spans="2:18" ht="15" customHeight="1" x14ac:dyDescent="0.45">
      <c r="B146" s="124"/>
      <c r="C146" s="124"/>
      <c r="D146" s="21" t="s">
        <v>61</v>
      </c>
      <c r="E146" s="24"/>
      <c r="F146" s="24"/>
      <c r="G146" s="24"/>
      <c r="H146" s="24"/>
      <c r="I146" s="24">
        <f>SUM(E145:I145)/5</f>
        <v>103699.52</v>
      </c>
      <c r="J146" s="24"/>
      <c r="K146" s="24"/>
      <c r="L146" s="24"/>
      <c r="M146" s="24"/>
      <c r="N146" s="24">
        <f>SUM(E145:N145)/10</f>
        <v>366031.05146880005</v>
      </c>
    </row>
    <row r="147" spans="2:18" ht="15" customHeight="1" x14ac:dyDescent="0.45">
      <c r="B147" s="124"/>
      <c r="C147" s="124"/>
      <c r="D147" s="21" t="s">
        <v>60</v>
      </c>
      <c r="E147" s="23">
        <f t="shared" ref="E147:N147" si="82">E137*E$16</f>
        <v>44200</v>
      </c>
      <c r="F147" s="23">
        <f t="shared" si="82"/>
        <v>107760.00000000001</v>
      </c>
      <c r="G147" s="23">
        <f t="shared" si="82"/>
        <v>199096</v>
      </c>
      <c r="H147" s="23">
        <f t="shared" si="82"/>
        <v>330259.20000000001</v>
      </c>
      <c r="I147" s="23">
        <f t="shared" si="82"/>
        <v>518497.60000000003</v>
      </c>
      <c r="J147" s="23">
        <f t="shared" si="82"/>
        <v>788485.24800000002</v>
      </c>
      <c r="K147" s="23">
        <f t="shared" si="82"/>
        <v>1175503.3984000001</v>
      </c>
      <c r="L147" s="23">
        <f t="shared" si="82"/>
        <v>1729978.4294400003</v>
      </c>
      <c r="M147" s="23">
        <f t="shared" si="82"/>
        <v>2523952.9415680002</v>
      </c>
      <c r="N147" s="23">
        <f t="shared" si="82"/>
        <v>3660310.5146880005</v>
      </c>
    </row>
    <row r="148" spans="2:18" ht="15" customHeight="1" x14ac:dyDescent="0.45">
      <c r="B148" s="1"/>
      <c r="C148" s="1"/>
      <c r="D148" s="48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2:18" ht="15" customHeight="1" x14ac:dyDescent="0.45">
      <c r="B149" s="132" t="s">
        <v>39</v>
      </c>
      <c r="C149" s="132" t="s">
        <v>69</v>
      </c>
      <c r="D149" s="132" t="s">
        <v>68</v>
      </c>
      <c r="E149" s="121" t="s">
        <v>3</v>
      </c>
      <c r="F149" s="121" t="s">
        <v>4</v>
      </c>
      <c r="G149" s="121" t="s">
        <v>5</v>
      </c>
      <c r="H149" s="121" t="s">
        <v>6</v>
      </c>
      <c r="I149" s="121" t="s">
        <v>7</v>
      </c>
      <c r="J149" s="121" t="s">
        <v>8</v>
      </c>
      <c r="K149" s="121" t="s">
        <v>9</v>
      </c>
      <c r="L149" s="121" t="s">
        <v>10</v>
      </c>
      <c r="M149" s="121" t="s">
        <v>11</v>
      </c>
      <c r="N149" s="121" t="s">
        <v>12</v>
      </c>
    </row>
    <row r="150" spans="2:18" ht="15" customHeight="1" x14ac:dyDescent="0.45">
      <c r="B150" s="133"/>
      <c r="C150" s="133"/>
      <c r="D150" s="133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</row>
    <row r="151" spans="2:18" s="5" customFormat="1" ht="15" customHeight="1" x14ac:dyDescent="0.45">
      <c r="B151" s="102" t="s">
        <v>16</v>
      </c>
      <c r="C151" s="134">
        <v>20000</v>
      </c>
      <c r="D151" s="59" t="s">
        <v>19</v>
      </c>
      <c r="E151" s="29">
        <f>E$96*$C151/20</f>
        <v>571.42857142857133</v>
      </c>
      <c r="F151" s="29">
        <f t="shared" ref="F151:N151" si="83">F$96*$C151/20</f>
        <v>408.16326530612247</v>
      </c>
      <c r="G151" s="29">
        <f t="shared" si="83"/>
        <v>291.54518950437324</v>
      </c>
      <c r="H151" s="29">
        <f t="shared" si="83"/>
        <v>208.24656393169508</v>
      </c>
      <c r="I151" s="29">
        <f t="shared" si="83"/>
        <v>148.74754566549652</v>
      </c>
      <c r="J151" s="29">
        <f t="shared" si="83"/>
        <v>106.24824690392609</v>
      </c>
      <c r="K151" s="29">
        <f t="shared" si="83"/>
        <v>75.891604931375809</v>
      </c>
      <c r="L151" s="29">
        <f t="shared" si="83"/>
        <v>54.20828923669707</v>
      </c>
      <c r="M151" s="29">
        <f t="shared" si="83"/>
        <v>38.72020659764064</v>
      </c>
      <c r="N151" s="29">
        <f t="shared" si="83"/>
        <v>27.657290426886142</v>
      </c>
      <c r="P151" s="2"/>
      <c r="Q151" s="2"/>
      <c r="R151" s="2"/>
    </row>
    <row r="152" spans="2:18" s="5" customFormat="1" ht="15" customHeight="1" x14ac:dyDescent="0.45">
      <c r="B152" s="124"/>
      <c r="C152" s="135"/>
      <c r="D152" s="21" t="s">
        <v>22</v>
      </c>
      <c r="E152" s="29"/>
      <c r="F152" s="29"/>
      <c r="G152" s="29"/>
      <c r="H152" s="29"/>
      <c r="I152" s="29">
        <f>SUM(E151:I151)/5</f>
        <v>325.62622716725173</v>
      </c>
      <c r="J152" s="29"/>
      <c r="K152" s="29"/>
      <c r="L152" s="29"/>
      <c r="M152" s="29"/>
      <c r="N152" s="29">
        <f>SUM(E151:N151)/10</f>
        <v>193.08567739327844</v>
      </c>
      <c r="P152" s="2"/>
      <c r="Q152" s="2"/>
      <c r="R152" s="2"/>
    </row>
    <row r="153" spans="2:18" s="5" customFormat="1" ht="15" customHeight="1" x14ac:dyDescent="0.45">
      <c r="B153" s="124"/>
      <c r="C153" s="135"/>
      <c r="D153" s="21" t="s">
        <v>52</v>
      </c>
      <c r="E153" s="29">
        <f>E$97*$C151/20</f>
        <v>285.71428571428567</v>
      </c>
      <c r="F153" s="29">
        <f t="shared" ref="F153:N153" si="84">F$97*$C151/20</f>
        <v>489.79591836734699</v>
      </c>
      <c r="G153" s="29">
        <f t="shared" si="84"/>
        <v>635.56851311953369</v>
      </c>
      <c r="H153" s="29">
        <f t="shared" si="84"/>
        <v>739.69179508538105</v>
      </c>
      <c r="I153" s="29">
        <f t="shared" si="84"/>
        <v>814.06556791812943</v>
      </c>
      <c r="J153" s="29">
        <f t="shared" si="84"/>
        <v>867.18969137009242</v>
      </c>
      <c r="K153" s="29">
        <f t="shared" si="84"/>
        <v>905.13549383578027</v>
      </c>
      <c r="L153" s="29">
        <f t="shared" si="84"/>
        <v>932.23963845412891</v>
      </c>
      <c r="M153" s="29">
        <f t="shared" si="84"/>
        <v>951.59974175294917</v>
      </c>
      <c r="N153" s="29">
        <f t="shared" si="84"/>
        <v>965.42838696639228</v>
      </c>
      <c r="P153" s="2"/>
      <c r="Q153" s="2"/>
      <c r="R153" s="2"/>
    </row>
    <row r="154" spans="2:18" s="5" customFormat="1" ht="15" customHeight="1" x14ac:dyDescent="0.45">
      <c r="B154" s="124"/>
      <c r="C154" s="135">
        <v>400000</v>
      </c>
      <c r="D154" s="59" t="s">
        <v>19</v>
      </c>
      <c r="E154" s="29">
        <f>E$96*$C154/20</f>
        <v>11428.571428571428</v>
      </c>
      <c r="F154" s="29">
        <f t="shared" ref="F154:N154" si="85">F$96*$C154/20</f>
        <v>8163.2653061224501</v>
      </c>
      <c r="G154" s="29">
        <f t="shared" si="85"/>
        <v>5830.9037900874655</v>
      </c>
      <c r="H154" s="29">
        <f t="shared" si="85"/>
        <v>4164.9312786339015</v>
      </c>
      <c r="I154" s="29">
        <f t="shared" si="85"/>
        <v>2974.9509133099305</v>
      </c>
      <c r="J154" s="29">
        <f t="shared" si="85"/>
        <v>2124.9649380785218</v>
      </c>
      <c r="K154" s="29">
        <f t="shared" si="85"/>
        <v>1517.8320986275162</v>
      </c>
      <c r="L154" s="29">
        <f t="shared" si="85"/>
        <v>1084.1657847339416</v>
      </c>
      <c r="M154" s="29">
        <f t="shared" si="85"/>
        <v>774.4041319528128</v>
      </c>
      <c r="N154" s="29">
        <f t="shared" si="85"/>
        <v>553.14580853772281</v>
      </c>
      <c r="P154" s="2"/>
      <c r="Q154" s="2"/>
      <c r="R154" s="2"/>
    </row>
    <row r="155" spans="2:18" s="5" customFormat="1" ht="15" customHeight="1" x14ac:dyDescent="0.45">
      <c r="B155" s="124"/>
      <c r="C155" s="135"/>
      <c r="D155" s="21" t="s">
        <v>22</v>
      </c>
      <c r="E155" s="29"/>
      <c r="F155" s="29"/>
      <c r="G155" s="29"/>
      <c r="H155" s="29"/>
      <c r="I155" s="29">
        <f>SUM(E154:I154)/5</f>
        <v>6512.5245433450345</v>
      </c>
      <c r="J155" s="29"/>
      <c r="K155" s="29"/>
      <c r="L155" s="29"/>
      <c r="M155" s="29"/>
      <c r="N155" s="29">
        <f>SUM(E154:N154)/10</f>
        <v>3861.7135478655691</v>
      </c>
      <c r="P155" s="2"/>
      <c r="Q155" s="2"/>
      <c r="R155" s="2"/>
    </row>
    <row r="156" spans="2:18" s="5" customFormat="1" ht="15" customHeight="1" x14ac:dyDescent="0.45">
      <c r="B156" s="124"/>
      <c r="C156" s="135"/>
      <c r="D156" s="21" t="s">
        <v>52</v>
      </c>
      <c r="E156" s="29">
        <f>E$97*$C154/20</f>
        <v>5714.2857142857138</v>
      </c>
      <c r="F156" s="29">
        <f t="shared" ref="F156:N156" si="86">F$97*$C154/20</f>
        <v>9795.9183673469397</v>
      </c>
      <c r="G156" s="29">
        <f t="shared" si="86"/>
        <v>12711.370262390674</v>
      </c>
      <c r="H156" s="29">
        <f t="shared" si="86"/>
        <v>14793.83590170762</v>
      </c>
      <c r="I156" s="29">
        <f t="shared" si="86"/>
        <v>16281.311358362587</v>
      </c>
      <c r="J156" s="29">
        <f t="shared" si="86"/>
        <v>17343.793827401849</v>
      </c>
      <c r="K156" s="29">
        <f t="shared" si="86"/>
        <v>18102.709876715606</v>
      </c>
      <c r="L156" s="29">
        <f t="shared" si="86"/>
        <v>18644.792769082578</v>
      </c>
      <c r="M156" s="29">
        <f t="shared" si="86"/>
        <v>19031.994835058984</v>
      </c>
      <c r="N156" s="29">
        <f t="shared" si="86"/>
        <v>19308.567739327846</v>
      </c>
      <c r="P156" s="2"/>
      <c r="Q156" s="2"/>
      <c r="R156" s="2"/>
    </row>
    <row r="157" spans="2:18" s="5" customFormat="1" ht="15" customHeight="1" x14ac:dyDescent="0.45">
      <c r="B157" s="123"/>
      <c r="C157" s="136">
        <v>1000000</v>
      </c>
      <c r="D157" s="17" t="s">
        <v>19</v>
      </c>
      <c r="E157" s="31">
        <f>E$96*$C$157/20</f>
        <v>28571.428571428569</v>
      </c>
      <c r="F157" s="31">
        <f t="shared" ref="F157:N157" si="87">F$96*$C$157/20</f>
        <v>20408.163265306124</v>
      </c>
      <c r="G157" s="31">
        <f t="shared" si="87"/>
        <v>14577.259475218661</v>
      </c>
      <c r="H157" s="31">
        <f t="shared" si="87"/>
        <v>10412.328196584753</v>
      </c>
      <c r="I157" s="31">
        <f t="shared" si="87"/>
        <v>7437.3772832748264</v>
      </c>
      <c r="J157" s="31">
        <f t="shared" si="87"/>
        <v>5312.4123451963042</v>
      </c>
      <c r="K157" s="31">
        <f t="shared" si="87"/>
        <v>3794.5802465687907</v>
      </c>
      <c r="L157" s="31">
        <f t="shared" si="87"/>
        <v>2710.4144618348537</v>
      </c>
      <c r="M157" s="31">
        <f t="shared" si="87"/>
        <v>1936.0103298820318</v>
      </c>
      <c r="N157" s="31">
        <f t="shared" si="87"/>
        <v>1382.8645213443071</v>
      </c>
      <c r="P157" s="2"/>
      <c r="Q157" s="2"/>
      <c r="R157" s="2"/>
    </row>
    <row r="158" spans="2:18" s="5" customFormat="1" ht="15" customHeight="1" x14ac:dyDescent="0.45">
      <c r="B158" s="123"/>
      <c r="C158" s="136"/>
      <c r="D158" s="17" t="s">
        <v>22</v>
      </c>
      <c r="E158" s="31"/>
      <c r="F158" s="31"/>
      <c r="G158" s="31"/>
      <c r="H158" s="31"/>
      <c r="I158" s="31">
        <f>SUM(E157:I157)/5</f>
        <v>16281.311358362585</v>
      </c>
      <c r="J158" s="31"/>
      <c r="K158" s="31"/>
      <c r="L158" s="31"/>
      <c r="M158" s="31"/>
      <c r="N158" s="31">
        <f>SUM(E157:N157)/10</f>
        <v>9654.283869663921</v>
      </c>
      <c r="P158" s="2"/>
      <c r="Q158" s="2"/>
      <c r="R158" s="2"/>
    </row>
    <row r="159" spans="2:18" s="5" customFormat="1" ht="15" customHeight="1" x14ac:dyDescent="0.45">
      <c r="B159" s="123"/>
      <c r="C159" s="136"/>
      <c r="D159" s="17" t="s">
        <v>52</v>
      </c>
      <c r="E159" s="31">
        <f>E$97*$C157/20</f>
        <v>14285.714285714284</v>
      </c>
      <c r="F159" s="31">
        <f t="shared" ref="F159:N159" si="88">F$97*$C157/20</f>
        <v>24489.795918367348</v>
      </c>
      <c r="G159" s="31">
        <f t="shared" si="88"/>
        <v>31778.425655976684</v>
      </c>
      <c r="H159" s="31">
        <f t="shared" si="88"/>
        <v>36984.589754269058</v>
      </c>
      <c r="I159" s="31">
        <f t="shared" si="88"/>
        <v>40703.278395906476</v>
      </c>
      <c r="J159" s="31">
        <f t="shared" si="88"/>
        <v>43359.484568504624</v>
      </c>
      <c r="K159" s="31">
        <f t="shared" si="88"/>
        <v>45256.774691789018</v>
      </c>
      <c r="L159" s="31">
        <f t="shared" si="88"/>
        <v>46611.981922706444</v>
      </c>
      <c r="M159" s="31">
        <f t="shared" si="88"/>
        <v>47579.987087647467</v>
      </c>
      <c r="N159" s="31">
        <f t="shared" si="88"/>
        <v>48271.419348319607</v>
      </c>
      <c r="P159" s="2"/>
      <c r="Q159" s="2"/>
      <c r="R159" s="2"/>
    </row>
    <row r="160" spans="2:18" s="5" customFormat="1" ht="15" customHeight="1" x14ac:dyDescent="0.45">
      <c r="B160" s="123"/>
      <c r="C160" s="136">
        <v>2100000</v>
      </c>
      <c r="D160" s="17" t="s">
        <v>19</v>
      </c>
      <c r="E160" s="31">
        <f>E$96*$C160/20</f>
        <v>60000</v>
      </c>
      <c r="F160" s="31">
        <f t="shared" ref="F160:N160" si="89">F$96*$C160/20</f>
        <v>42857.142857142855</v>
      </c>
      <c r="G160" s="31">
        <f t="shared" si="89"/>
        <v>30612.24489795919</v>
      </c>
      <c r="H160" s="31">
        <f t="shared" si="89"/>
        <v>21865.889212827984</v>
      </c>
      <c r="I160" s="31">
        <f t="shared" si="89"/>
        <v>15618.492294877136</v>
      </c>
      <c r="J160" s="31">
        <f t="shared" si="89"/>
        <v>11156.06592491224</v>
      </c>
      <c r="K160" s="31">
        <f t="shared" si="89"/>
        <v>7968.6185177944599</v>
      </c>
      <c r="L160" s="31">
        <f t="shared" si="89"/>
        <v>5691.8703698531926</v>
      </c>
      <c r="M160" s="31">
        <f t="shared" si="89"/>
        <v>4065.6216927522669</v>
      </c>
      <c r="N160" s="31">
        <f t="shared" si="89"/>
        <v>2904.0154948230452</v>
      </c>
      <c r="P160" s="2"/>
      <c r="Q160" s="2"/>
      <c r="R160" s="2"/>
    </row>
    <row r="161" spans="2:18" s="5" customFormat="1" ht="15" customHeight="1" x14ac:dyDescent="0.45">
      <c r="B161" s="123"/>
      <c r="C161" s="136"/>
      <c r="D161" s="17" t="s">
        <v>22</v>
      </c>
      <c r="E161" s="31"/>
      <c r="F161" s="31"/>
      <c r="G161" s="31"/>
      <c r="H161" s="31"/>
      <c r="I161" s="31">
        <f>SUM(E160:I160)/5</f>
        <v>34190.753852561429</v>
      </c>
      <c r="J161" s="31"/>
      <c r="K161" s="31"/>
      <c r="L161" s="31"/>
      <c r="M161" s="31"/>
      <c r="N161" s="31">
        <f>SUM(E160:N160)/10</f>
        <v>20273.996126294234</v>
      </c>
      <c r="P161" s="2"/>
      <c r="Q161" s="2"/>
      <c r="R161" s="2"/>
    </row>
    <row r="162" spans="2:18" s="5" customFormat="1" ht="15" customHeight="1" x14ac:dyDescent="0.45">
      <c r="B162" s="123"/>
      <c r="C162" s="136"/>
      <c r="D162" s="17" t="s">
        <v>52</v>
      </c>
      <c r="E162" s="31">
        <f>E$97*$C160/20</f>
        <v>30000</v>
      </c>
      <c r="F162" s="31">
        <f t="shared" ref="F162:N162" si="90">F$97*$C160/20</f>
        <v>51428.571428571435</v>
      </c>
      <c r="G162" s="31">
        <f t="shared" si="90"/>
        <v>66734.693877551035</v>
      </c>
      <c r="H162" s="31">
        <f t="shared" si="90"/>
        <v>77667.638483965013</v>
      </c>
      <c r="I162" s="31">
        <f t="shared" si="90"/>
        <v>85476.884631403591</v>
      </c>
      <c r="J162" s="31">
        <f t="shared" si="90"/>
        <v>91054.917593859704</v>
      </c>
      <c r="K162" s="31">
        <f t="shared" si="90"/>
        <v>95039.226852756925</v>
      </c>
      <c r="L162" s="31">
        <f t="shared" si="90"/>
        <v>97885.16203768352</v>
      </c>
      <c r="M162" s="31">
        <f t="shared" si="90"/>
        <v>99917.97288405968</v>
      </c>
      <c r="N162" s="31">
        <f t="shared" si="90"/>
        <v>101369.98063147118</v>
      </c>
      <c r="P162" s="2"/>
      <c r="Q162" s="2"/>
      <c r="R162" s="2"/>
    </row>
    <row r="163" spans="2:18" s="5" customFormat="1" ht="15" customHeight="1" x14ac:dyDescent="0.45">
      <c r="B163" s="124" t="s">
        <v>17</v>
      </c>
      <c r="C163" s="135">
        <v>20000</v>
      </c>
      <c r="D163" s="59" t="s">
        <v>19</v>
      </c>
      <c r="E163" s="29">
        <f>E$108*$C163/20</f>
        <v>30</v>
      </c>
      <c r="F163" s="29">
        <f t="shared" ref="F163:N163" si="91">F$108*$C163/20</f>
        <v>30</v>
      </c>
      <c r="G163" s="29">
        <f t="shared" si="91"/>
        <v>30</v>
      </c>
      <c r="H163" s="29">
        <f t="shared" si="91"/>
        <v>30</v>
      </c>
      <c r="I163" s="29">
        <f t="shared" si="91"/>
        <v>30</v>
      </c>
      <c r="J163" s="29">
        <f t="shared" si="91"/>
        <v>30</v>
      </c>
      <c r="K163" s="29">
        <f t="shared" si="91"/>
        <v>30</v>
      </c>
      <c r="L163" s="29">
        <f t="shared" si="91"/>
        <v>30</v>
      </c>
      <c r="M163" s="29">
        <f t="shared" si="91"/>
        <v>30</v>
      </c>
      <c r="N163" s="29">
        <f t="shared" si="91"/>
        <v>30</v>
      </c>
      <c r="P163" s="2"/>
      <c r="Q163" s="2"/>
      <c r="R163" s="2"/>
    </row>
    <row r="164" spans="2:18" s="5" customFormat="1" ht="15" customHeight="1" x14ac:dyDescent="0.45">
      <c r="B164" s="124"/>
      <c r="C164" s="135"/>
      <c r="D164" s="21" t="s">
        <v>22</v>
      </c>
      <c r="E164" s="29"/>
      <c r="F164" s="29"/>
      <c r="G164" s="29"/>
      <c r="H164" s="29"/>
      <c r="I164" s="29">
        <f>SUM(E163:I163)/5</f>
        <v>30</v>
      </c>
      <c r="J164" s="29"/>
      <c r="K164" s="29"/>
      <c r="L164" s="29"/>
      <c r="M164" s="29"/>
      <c r="N164" s="29">
        <f>SUM(E163:N163)/10</f>
        <v>30</v>
      </c>
      <c r="P164" s="2"/>
      <c r="Q164" s="2"/>
      <c r="R164" s="2"/>
    </row>
    <row r="165" spans="2:18" s="5" customFormat="1" ht="15" customHeight="1" x14ac:dyDescent="0.45">
      <c r="B165" s="124"/>
      <c r="C165" s="135"/>
      <c r="D165" s="21" t="s">
        <v>52</v>
      </c>
      <c r="E165" s="29">
        <f>E$109*$C163/20</f>
        <v>30</v>
      </c>
      <c r="F165" s="29">
        <f t="shared" ref="F165:N165" si="92">F$109*$C163/20</f>
        <v>60</v>
      </c>
      <c r="G165" s="29">
        <f t="shared" si="92"/>
        <v>90</v>
      </c>
      <c r="H165" s="29">
        <f t="shared" si="92"/>
        <v>120</v>
      </c>
      <c r="I165" s="29">
        <f t="shared" si="92"/>
        <v>150</v>
      </c>
      <c r="J165" s="29">
        <f t="shared" si="92"/>
        <v>180</v>
      </c>
      <c r="K165" s="29">
        <f t="shared" si="92"/>
        <v>210</v>
      </c>
      <c r="L165" s="29">
        <f t="shared" si="92"/>
        <v>240</v>
      </c>
      <c r="M165" s="29">
        <f t="shared" si="92"/>
        <v>270</v>
      </c>
      <c r="N165" s="29">
        <f t="shared" si="92"/>
        <v>300.00000000000006</v>
      </c>
      <c r="P165" s="2"/>
      <c r="Q165" s="2"/>
      <c r="R165" s="2"/>
    </row>
    <row r="166" spans="2:18" s="5" customFormat="1" ht="15" customHeight="1" x14ac:dyDescent="0.45">
      <c r="B166" s="124"/>
      <c r="C166" s="135">
        <v>400000</v>
      </c>
      <c r="D166" s="59" t="s">
        <v>19</v>
      </c>
      <c r="E166" s="29">
        <f>E$108*$C166/20</f>
        <v>600</v>
      </c>
      <c r="F166" s="29">
        <f t="shared" ref="F166:N166" si="93">F$108*$C166/20</f>
        <v>600</v>
      </c>
      <c r="G166" s="29">
        <f t="shared" si="93"/>
        <v>600</v>
      </c>
      <c r="H166" s="29">
        <f t="shared" si="93"/>
        <v>600</v>
      </c>
      <c r="I166" s="29">
        <f t="shared" si="93"/>
        <v>600</v>
      </c>
      <c r="J166" s="29">
        <f t="shared" si="93"/>
        <v>600</v>
      </c>
      <c r="K166" s="29">
        <f t="shared" si="93"/>
        <v>600</v>
      </c>
      <c r="L166" s="29">
        <f t="shared" si="93"/>
        <v>600</v>
      </c>
      <c r="M166" s="29">
        <f t="shared" si="93"/>
        <v>600</v>
      </c>
      <c r="N166" s="29">
        <f t="shared" si="93"/>
        <v>600</v>
      </c>
      <c r="P166" s="2"/>
      <c r="Q166" s="2"/>
      <c r="R166" s="2"/>
    </row>
    <row r="167" spans="2:18" s="5" customFormat="1" ht="15" customHeight="1" x14ac:dyDescent="0.45">
      <c r="B167" s="124"/>
      <c r="C167" s="135"/>
      <c r="D167" s="21" t="s">
        <v>22</v>
      </c>
      <c r="E167" s="29"/>
      <c r="F167" s="29"/>
      <c r="G167" s="29"/>
      <c r="H167" s="29"/>
      <c r="I167" s="29">
        <f>SUM(E166:I166)/5</f>
        <v>600</v>
      </c>
      <c r="J167" s="29"/>
      <c r="K167" s="29"/>
      <c r="L167" s="29"/>
      <c r="M167" s="29"/>
      <c r="N167" s="29">
        <f>SUM(E166:N166)/10</f>
        <v>600</v>
      </c>
      <c r="P167" s="2"/>
      <c r="Q167" s="2"/>
      <c r="R167" s="2"/>
    </row>
    <row r="168" spans="2:18" s="5" customFormat="1" ht="15" customHeight="1" x14ac:dyDescent="0.45">
      <c r="B168" s="124"/>
      <c r="C168" s="135"/>
      <c r="D168" s="21" t="s">
        <v>52</v>
      </c>
      <c r="E168" s="29">
        <f>E$109*$C166/20</f>
        <v>600</v>
      </c>
      <c r="F168" s="29">
        <f t="shared" ref="F168:N168" si="94">F$109*$C166/20</f>
        <v>1200</v>
      </c>
      <c r="G168" s="29">
        <f t="shared" si="94"/>
        <v>1800</v>
      </c>
      <c r="H168" s="29">
        <f t="shared" si="94"/>
        <v>2400</v>
      </c>
      <c r="I168" s="29">
        <f t="shared" si="94"/>
        <v>3000</v>
      </c>
      <c r="J168" s="29">
        <f t="shared" si="94"/>
        <v>3600</v>
      </c>
      <c r="K168" s="29">
        <f t="shared" si="94"/>
        <v>4200.0000000000009</v>
      </c>
      <c r="L168" s="29">
        <f t="shared" si="94"/>
        <v>4800</v>
      </c>
      <c r="M168" s="29">
        <f t="shared" si="94"/>
        <v>5400</v>
      </c>
      <c r="N168" s="29">
        <f t="shared" si="94"/>
        <v>6000.0000000000009</v>
      </c>
      <c r="P168" s="2"/>
      <c r="Q168" s="2"/>
      <c r="R168" s="2"/>
    </row>
    <row r="169" spans="2:18" s="5" customFormat="1" ht="15" customHeight="1" x14ac:dyDescent="0.45">
      <c r="B169" s="124"/>
      <c r="C169" s="136">
        <v>1000000</v>
      </c>
      <c r="D169" s="17" t="s">
        <v>19</v>
      </c>
      <c r="E169" s="142">
        <f>E$108*$C169/20</f>
        <v>1500</v>
      </c>
      <c r="F169" s="142">
        <f t="shared" ref="F169:N169" si="95">F$108*$C169/20</f>
        <v>1500</v>
      </c>
      <c r="G169" s="142">
        <f t="shared" si="95"/>
        <v>1500</v>
      </c>
      <c r="H169" s="142">
        <f t="shared" si="95"/>
        <v>1500</v>
      </c>
      <c r="I169" s="142">
        <f t="shared" si="95"/>
        <v>1500</v>
      </c>
      <c r="J169" s="142">
        <f t="shared" si="95"/>
        <v>1500</v>
      </c>
      <c r="K169" s="142">
        <f t="shared" si="95"/>
        <v>1500</v>
      </c>
      <c r="L169" s="142">
        <f t="shared" si="95"/>
        <v>1500</v>
      </c>
      <c r="M169" s="142">
        <f t="shared" si="95"/>
        <v>1500</v>
      </c>
      <c r="N169" s="142">
        <f t="shared" si="95"/>
        <v>1500</v>
      </c>
      <c r="P169" s="2"/>
      <c r="Q169" s="2"/>
      <c r="R169" s="2"/>
    </row>
    <row r="170" spans="2:18" s="5" customFormat="1" ht="15" customHeight="1" x14ac:dyDescent="0.45">
      <c r="B170" s="124"/>
      <c r="C170" s="136"/>
      <c r="D170" s="17" t="s">
        <v>22</v>
      </c>
      <c r="E170" s="142"/>
      <c r="F170" s="142"/>
      <c r="G170" s="142"/>
      <c r="H170" s="142"/>
      <c r="I170" s="142">
        <f>SUM(E169:I169)/5</f>
        <v>1500</v>
      </c>
      <c r="J170" s="142"/>
      <c r="K170" s="142"/>
      <c r="L170" s="142"/>
      <c r="M170" s="142"/>
      <c r="N170" s="142">
        <f>SUM(E169:N169)/10</f>
        <v>1500</v>
      </c>
      <c r="P170" s="2"/>
      <c r="Q170" s="2"/>
      <c r="R170" s="2"/>
    </row>
    <row r="171" spans="2:18" s="5" customFormat="1" ht="15" customHeight="1" x14ac:dyDescent="0.45">
      <c r="B171" s="124"/>
      <c r="C171" s="136"/>
      <c r="D171" s="17" t="s">
        <v>52</v>
      </c>
      <c r="E171" s="142">
        <f>E$109*$C169/20</f>
        <v>1500</v>
      </c>
      <c r="F171" s="142">
        <f t="shared" ref="F171:N171" si="96">F$109*$C169/20</f>
        <v>3000</v>
      </c>
      <c r="G171" s="142">
        <f t="shared" si="96"/>
        <v>4500</v>
      </c>
      <c r="H171" s="142">
        <f t="shared" si="96"/>
        <v>6000</v>
      </c>
      <c r="I171" s="142">
        <f t="shared" si="96"/>
        <v>7500</v>
      </c>
      <c r="J171" s="142">
        <f t="shared" si="96"/>
        <v>9000</v>
      </c>
      <c r="K171" s="142">
        <f t="shared" si="96"/>
        <v>10500.000000000002</v>
      </c>
      <c r="L171" s="142">
        <f t="shared" si="96"/>
        <v>12000</v>
      </c>
      <c r="M171" s="142">
        <f t="shared" si="96"/>
        <v>13500</v>
      </c>
      <c r="N171" s="142">
        <f t="shared" si="96"/>
        <v>15000.000000000004</v>
      </c>
      <c r="P171" s="2"/>
      <c r="Q171" s="2"/>
      <c r="R171" s="2"/>
    </row>
    <row r="172" spans="2:18" s="5" customFormat="1" ht="15" customHeight="1" x14ac:dyDescent="0.45">
      <c r="B172" s="124"/>
      <c r="C172" s="136">
        <v>2100000</v>
      </c>
      <c r="D172" s="17" t="s">
        <v>19</v>
      </c>
      <c r="E172" s="142">
        <f>E$108*$C172/20</f>
        <v>3150</v>
      </c>
      <c r="F172" s="142">
        <f t="shared" ref="F172:N172" si="97">F$108*$C172/20</f>
        <v>3150</v>
      </c>
      <c r="G172" s="142">
        <f t="shared" si="97"/>
        <v>3150</v>
      </c>
      <c r="H172" s="142">
        <f t="shared" si="97"/>
        <v>3150</v>
      </c>
      <c r="I172" s="142">
        <f t="shared" si="97"/>
        <v>3150</v>
      </c>
      <c r="J172" s="142">
        <f t="shared" si="97"/>
        <v>3150</v>
      </c>
      <c r="K172" s="142">
        <f t="shared" si="97"/>
        <v>3150</v>
      </c>
      <c r="L172" s="142">
        <f t="shared" si="97"/>
        <v>3150</v>
      </c>
      <c r="M172" s="142">
        <f t="shared" si="97"/>
        <v>3150</v>
      </c>
      <c r="N172" s="142">
        <f t="shared" si="97"/>
        <v>3150</v>
      </c>
      <c r="P172" s="2"/>
      <c r="Q172" s="2"/>
      <c r="R172" s="2"/>
    </row>
    <row r="173" spans="2:18" s="5" customFormat="1" ht="15" customHeight="1" x14ac:dyDescent="0.45">
      <c r="B173" s="124"/>
      <c r="C173" s="136"/>
      <c r="D173" s="17" t="s">
        <v>22</v>
      </c>
      <c r="E173" s="142"/>
      <c r="F173" s="142"/>
      <c r="G173" s="142"/>
      <c r="H173" s="142"/>
      <c r="I173" s="142">
        <f>SUM(E172:I172)/5</f>
        <v>3150</v>
      </c>
      <c r="J173" s="142"/>
      <c r="K173" s="142"/>
      <c r="L173" s="142"/>
      <c r="M173" s="142"/>
      <c r="N173" s="142">
        <f>SUM(E172:N172)/10</f>
        <v>3150</v>
      </c>
      <c r="P173" s="2"/>
      <c r="Q173" s="2"/>
      <c r="R173" s="2"/>
    </row>
    <row r="174" spans="2:18" s="5" customFormat="1" ht="15" customHeight="1" x14ac:dyDescent="0.45">
      <c r="B174" s="124"/>
      <c r="C174" s="136"/>
      <c r="D174" s="17" t="s">
        <v>52</v>
      </c>
      <c r="E174" s="142">
        <f>E$109*$C172/20</f>
        <v>3150</v>
      </c>
      <c r="F174" s="142">
        <f t="shared" ref="F174:N174" si="98">F$109*$C172/20</f>
        <v>6300</v>
      </c>
      <c r="G174" s="142">
        <f t="shared" si="98"/>
        <v>9450</v>
      </c>
      <c r="H174" s="142">
        <f t="shared" si="98"/>
        <v>12600</v>
      </c>
      <c r="I174" s="142">
        <f t="shared" si="98"/>
        <v>15750</v>
      </c>
      <c r="J174" s="142">
        <f t="shared" si="98"/>
        <v>18900</v>
      </c>
      <c r="K174" s="142">
        <f t="shared" si="98"/>
        <v>22050.000000000004</v>
      </c>
      <c r="L174" s="142">
        <f t="shared" si="98"/>
        <v>25200</v>
      </c>
      <c r="M174" s="142">
        <f t="shared" si="98"/>
        <v>28350</v>
      </c>
      <c r="N174" s="142">
        <f t="shared" si="98"/>
        <v>31500.000000000007</v>
      </c>
      <c r="P174" s="2"/>
      <c r="Q174" s="2"/>
      <c r="R174" s="2"/>
    </row>
    <row r="175" spans="2:18" s="5" customFormat="1" ht="15" customHeight="1" x14ac:dyDescent="0.45">
      <c r="B175" s="124" t="s">
        <v>73</v>
      </c>
      <c r="C175" s="135">
        <v>20000</v>
      </c>
      <c r="D175" s="59" t="s">
        <v>19</v>
      </c>
      <c r="E175" s="29">
        <f>E$123*$C175/20</f>
        <v>357.14285714285711</v>
      </c>
      <c r="F175" s="29">
        <f t="shared" ref="F175:N175" si="99">F$123*$C175/20</f>
        <v>255.10204081632656</v>
      </c>
      <c r="G175" s="29">
        <f t="shared" si="99"/>
        <v>182.21574344023324</v>
      </c>
      <c r="H175" s="29">
        <f t="shared" si="99"/>
        <v>130.15410245730945</v>
      </c>
      <c r="I175" s="29">
        <f t="shared" si="99"/>
        <v>92.967216040935327</v>
      </c>
      <c r="J175" s="29">
        <f t="shared" si="99"/>
        <v>66.405154314953805</v>
      </c>
      <c r="K175" s="29">
        <f t="shared" si="99"/>
        <v>47.432253082109852</v>
      </c>
      <c r="L175" s="29">
        <f t="shared" si="99"/>
        <v>33.880180772935617</v>
      </c>
      <c r="M175" s="29">
        <f t="shared" si="99"/>
        <v>24.200129123525436</v>
      </c>
      <c r="N175" s="29">
        <f t="shared" si="99"/>
        <v>17.285806516803881</v>
      </c>
      <c r="P175" s="2"/>
      <c r="Q175" s="2"/>
      <c r="R175" s="2"/>
    </row>
    <row r="176" spans="2:18" s="5" customFormat="1" ht="15" customHeight="1" x14ac:dyDescent="0.45">
      <c r="B176" s="124"/>
      <c r="C176" s="135"/>
      <c r="D176" s="21" t="s">
        <v>22</v>
      </c>
      <c r="E176" s="29"/>
      <c r="F176" s="29"/>
      <c r="G176" s="29"/>
      <c r="H176" s="29"/>
      <c r="I176" s="29">
        <f>SUM(E175:I175)/5</f>
        <v>203.51639197953233</v>
      </c>
      <c r="J176" s="29"/>
      <c r="K176" s="29"/>
      <c r="L176" s="29"/>
      <c r="M176" s="29"/>
      <c r="N176" s="29">
        <f>SUM(E175:N175)/10</f>
        <v>120.67854837079901</v>
      </c>
      <c r="P176" s="2"/>
      <c r="Q176" s="2"/>
      <c r="R176" s="2"/>
    </row>
    <row r="177" spans="2:18" s="5" customFormat="1" ht="15" customHeight="1" x14ac:dyDescent="0.45">
      <c r="B177" s="124"/>
      <c r="C177" s="135"/>
      <c r="D177" s="21" t="s">
        <v>52</v>
      </c>
      <c r="E177" s="29">
        <f>E$124*$C175/20</f>
        <v>357.14285714285711</v>
      </c>
      <c r="F177" s="29">
        <f t="shared" ref="F177:N177" si="100">F$124*$C175/20</f>
        <v>612.24489795918373</v>
      </c>
      <c r="G177" s="29">
        <f t="shared" si="100"/>
        <v>794.46064139941677</v>
      </c>
      <c r="H177" s="29">
        <f t="shared" si="100"/>
        <v>924.61474385672659</v>
      </c>
      <c r="I177" s="29">
        <f t="shared" si="100"/>
        <v>1017.5819598976617</v>
      </c>
      <c r="J177" s="29">
        <f t="shared" si="100"/>
        <v>1083.9871142126153</v>
      </c>
      <c r="K177" s="29">
        <f t="shared" si="100"/>
        <v>1131.4193672947245</v>
      </c>
      <c r="L177" s="29">
        <f t="shared" si="100"/>
        <v>1165.2995480676591</v>
      </c>
      <c r="M177" s="29">
        <f t="shared" si="100"/>
        <v>1189.4996771911883</v>
      </c>
      <c r="N177" s="29">
        <f t="shared" si="100"/>
        <v>1206.7854837079935</v>
      </c>
      <c r="P177" s="2"/>
      <c r="Q177" s="2"/>
      <c r="R177" s="2"/>
    </row>
    <row r="178" spans="2:18" s="5" customFormat="1" ht="15" customHeight="1" x14ac:dyDescent="0.45">
      <c r="B178" s="124"/>
      <c r="C178" s="135">
        <v>400000</v>
      </c>
      <c r="D178" s="59" t="s">
        <v>19</v>
      </c>
      <c r="E178" s="29">
        <f>E$123*$C178/20</f>
        <v>7142.8571428571422</v>
      </c>
      <c r="F178" s="29">
        <f t="shared" ref="F178:N178" si="101">F$123*$C178/20</f>
        <v>5102.0408163265311</v>
      </c>
      <c r="G178" s="29">
        <f t="shared" si="101"/>
        <v>3644.3148688046649</v>
      </c>
      <c r="H178" s="29">
        <f t="shared" si="101"/>
        <v>2603.0820491461891</v>
      </c>
      <c r="I178" s="29">
        <f t="shared" si="101"/>
        <v>1859.3443208187066</v>
      </c>
      <c r="J178" s="29">
        <f t="shared" si="101"/>
        <v>1328.103086299076</v>
      </c>
      <c r="K178" s="29">
        <f t="shared" si="101"/>
        <v>948.64506164219711</v>
      </c>
      <c r="L178" s="29">
        <f t="shared" si="101"/>
        <v>677.60361545871228</v>
      </c>
      <c r="M178" s="29">
        <f t="shared" si="101"/>
        <v>484.0025824705088</v>
      </c>
      <c r="N178" s="29">
        <f t="shared" si="101"/>
        <v>345.71613033607764</v>
      </c>
      <c r="P178" s="2"/>
      <c r="Q178" s="2"/>
      <c r="R178" s="2"/>
    </row>
    <row r="179" spans="2:18" s="5" customFormat="1" ht="15" customHeight="1" x14ac:dyDescent="0.45">
      <c r="B179" s="124"/>
      <c r="C179" s="135"/>
      <c r="D179" s="21" t="s">
        <v>22</v>
      </c>
      <c r="E179" s="29"/>
      <c r="F179" s="29"/>
      <c r="G179" s="29"/>
      <c r="H179" s="29"/>
      <c r="I179" s="29">
        <f>SUM(E178:I178)/5</f>
        <v>4070.3278395906464</v>
      </c>
      <c r="J179" s="29"/>
      <c r="K179" s="29"/>
      <c r="L179" s="29"/>
      <c r="M179" s="29"/>
      <c r="N179" s="29">
        <f>SUM(E178:N178)/10</f>
        <v>2413.5709674159802</v>
      </c>
      <c r="P179" s="2"/>
      <c r="Q179" s="2"/>
      <c r="R179" s="2"/>
    </row>
    <row r="180" spans="2:18" s="5" customFormat="1" ht="15" customHeight="1" x14ac:dyDescent="0.45">
      <c r="B180" s="124"/>
      <c r="C180" s="135"/>
      <c r="D180" s="21" t="s">
        <v>52</v>
      </c>
      <c r="E180" s="29">
        <f>E$124*$C178/20</f>
        <v>7142.8571428571422</v>
      </c>
      <c r="F180" s="29">
        <f t="shared" ref="F180:N180" si="102">F$124*$C178/20</f>
        <v>12244.897959183672</v>
      </c>
      <c r="G180" s="29">
        <f t="shared" si="102"/>
        <v>15889.212827988338</v>
      </c>
      <c r="H180" s="29">
        <f t="shared" si="102"/>
        <v>18492.294877134533</v>
      </c>
      <c r="I180" s="29">
        <f t="shared" si="102"/>
        <v>20351.639197953231</v>
      </c>
      <c r="J180" s="29">
        <f t="shared" si="102"/>
        <v>21679.742284252308</v>
      </c>
      <c r="K180" s="29">
        <f t="shared" si="102"/>
        <v>22628.387345894495</v>
      </c>
      <c r="L180" s="29">
        <f t="shared" si="102"/>
        <v>23305.990961353182</v>
      </c>
      <c r="M180" s="29">
        <f t="shared" si="102"/>
        <v>23789.993543823766</v>
      </c>
      <c r="N180" s="29">
        <f t="shared" si="102"/>
        <v>24135.709674159869</v>
      </c>
      <c r="P180" s="2"/>
      <c r="Q180" s="2"/>
      <c r="R180" s="2"/>
    </row>
    <row r="181" spans="2:18" s="5" customFormat="1" ht="15" customHeight="1" x14ac:dyDescent="0.45">
      <c r="B181" s="124"/>
      <c r="C181" s="136">
        <v>1000000</v>
      </c>
      <c r="D181" s="17" t="s">
        <v>19</v>
      </c>
      <c r="E181" s="142">
        <f>E$123*$C181/20</f>
        <v>17857.142857142855</v>
      </c>
      <c r="F181" s="142">
        <f t="shared" ref="F181:N181" si="103">F$123*$C181/20</f>
        <v>12755.102040816328</v>
      </c>
      <c r="G181" s="142">
        <f t="shared" si="103"/>
        <v>9110.7871720116636</v>
      </c>
      <c r="H181" s="142">
        <f t="shared" si="103"/>
        <v>6507.7051228654727</v>
      </c>
      <c r="I181" s="142">
        <f t="shared" si="103"/>
        <v>4648.3608020467664</v>
      </c>
      <c r="J181" s="142">
        <f t="shared" si="103"/>
        <v>3320.2577157476903</v>
      </c>
      <c r="K181" s="142">
        <f t="shared" si="103"/>
        <v>2371.6126541054928</v>
      </c>
      <c r="L181" s="142">
        <f t="shared" si="103"/>
        <v>1694.0090386467807</v>
      </c>
      <c r="M181" s="142">
        <f t="shared" si="103"/>
        <v>1210.0064561762717</v>
      </c>
      <c r="N181" s="142">
        <f t="shared" si="103"/>
        <v>864.2903258401941</v>
      </c>
      <c r="P181" s="2"/>
      <c r="Q181" s="2"/>
      <c r="R181" s="2"/>
    </row>
    <row r="182" spans="2:18" s="5" customFormat="1" ht="15" customHeight="1" x14ac:dyDescent="0.45">
      <c r="B182" s="124"/>
      <c r="C182" s="136"/>
      <c r="D182" s="17" t="s">
        <v>22</v>
      </c>
      <c r="E182" s="142"/>
      <c r="F182" s="142"/>
      <c r="G182" s="142"/>
      <c r="H182" s="142"/>
      <c r="I182" s="142">
        <f>SUM(E181:I181)/5</f>
        <v>10175.819598976617</v>
      </c>
      <c r="J182" s="142"/>
      <c r="K182" s="142"/>
      <c r="L182" s="142"/>
      <c r="M182" s="142"/>
      <c r="N182" s="142">
        <f>SUM(E181:N181)/10</f>
        <v>6033.9274185399508</v>
      </c>
      <c r="P182" s="2"/>
      <c r="Q182" s="2"/>
      <c r="R182" s="2"/>
    </row>
    <row r="183" spans="2:18" s="5" customFormat="1" ht="15" customHeight="1" x14ac:dyDescent="0.45">
      <c r="B183" s="124"/>
      <c r="C183" s="136"/>
      <c r="D183" s="17" t="s">
        <v>52</v>
      </c>
      <c r="E183" s="142">
        <f>E$124*$C181/20</f>
        <v>17857.142857142855</v>
      </c>
      <c r="F183" s="142">
        <f t="shared" ref="F183:N183" si="104">F$124*$C181/20</f>
        <v>30612.244897959183</v>
      </c>
      <c r="G183" s="142">
        <f t="shared" si="104"/>
        <v>39723.032069970839</v>
      </c>
      <c r="H183" s="142">
        <f t="shared" si="104"/>
        <v>46230.737192836335</v>
      </c>
      <c r="I183" s="142">
        <f t="shared" si="104"/>
        <v>50879.097994883086</v>
      </c>
      <c r="J183" s="142">
        <f t="shared" si="104"/>
        <v>54199.355710630771</v>
      </c>
      <c r="K183" s="142">
        <f t="shared" si="104"/>
        <v>56570.968364736225</v>
      </c>
      <c r="L183" s="142">
        <f t="shared" si="104"/>
        <v>58264.97740338296</v>
      </c>
      <c r="M183" s="142">
        <f t="shared" si="104"/>
        <v>59474.983859559419</v>
      </c>
      <c r="N183" s="142">
        <f t="shared" si="104"/>
        <v>60339.274185399678</v>
      </c>
      <c r="P183" s="2"/>
      <c r="Q183" s="2"/>
      <c r="R183" s="2"/>
    </row>
    <row r="184" spans="2:18" s="5" customFormat="1" ht="15" customHeight="1" x14ac:dyDescent="0.45">
      <c r="B184" s="124"/>
      <c r="C184" s="136">
        <v>2100000</v>
      </c>
      <c r="D184" s="17" t="s">
        <v>19</v>
      </c>
      <c r="E184" s="142">
        <f>E$123*$C184/20</f>
        <v>37499.999999999993</v>
      </c>
      <c r="F184" s="142">
        <f t="shared" ref="F184:N184" si="105">F$123*$C184/20</f>
        <v>26785.714285714283</v>
      </c>
      <c r="G184" s="142">
        <f t="shared" si="105"/>
        <v>19132.65306122449</v>
      </c>
      <c r="H184" s="142">
        <f t="shared" si="105"/>
        <v>13666.180758017494</v>
      </c>
      <c r="I184" s="142">
        <f t="shared" si="105"/>
        <v>9761.5576842982082</v>
      </c>
      <c r="J184" s="142">
        <f t="shared" si="105"/>
        <v>6972.54120307015</v>
      </c>
      <c r="K184" s="142">
        <f t="shared" si="105"/>
        <v>4980.3865736215348</v>
      </c>
      <c r="L184" s="142">
        <f t="shared" si="105"/>
        <v>3557.4189811582391</v>
      </c>
      <c r="M184" s="142">
        <f t="shared" si="105"/>
        <v>2541.013557970171</v>
      </c>
      <c r="N184" s="142">
        <f t="shared" si="105"/>
        <v>1815.0096842644075</v>
      </c>
      <c r="P184" s="2"/>
      <c r="Q184" s="2"/>
      <c r="R184" s="2"/>
    </row>
    <row r="185" spans="2:18" s="5" customFormat="1" ht="15" customHeight="1" x14ac:dyDescent="0.45">
      <c r="B185" s="124"/>
      <c r="C185" s="136"/>
      <c r="D185" s="17" t="s">
        <v>22</v>
      </c>
      <c r="E185" s="142"/>
      <c r="F185" s="142"/>
      <c r="G185" s="142"/>
      <c r="H185" s="142"/>
      <c r="I185" s="142">
        <f>SUM(E184:I184)/5</f>
        <v>21369.221157850894</v>
      </c>
      <c r="J185" s="142"/>
      <c r="K185" s="142"/>
      <c r="L185" s="142"/>
      <c r="M185" s="142"/>
      <c r="N185" s="142">
        <f>SUM(E184:N184)/10</f>
        <v>12671.247578933897</v>
      </c>
      <c r="P185" s="2"/>
      <c r="Q185" s="2"/>
      <c r="R185" s="2"/>
    </row>
    <row r="186" spans="2:18" s="5" customFormat="1" ht="15" customHeight="1" x14ac:dyDescent="0.45">
      <c r="B186" s="124"/>
      <c r="C186" s="136"/>
      <c r="D186" s="17" t="s">
        <v>52</v>
      </c>
      <c r="E186" s="142">
        <f>E$124*$C184/20</f>
        <v>37499.999999999993</v>
      </c>
      <c r="F186" s="142">
        <f t="shared" ref="F186:N186" si="106">F$124*$C184/20</f>
        <v>64285.714285714283</v>
      </c>
      <c r="G186" s="142">
        <f t="shared" si="106"/>
        <v>83418.367346938772</v>
      </c>
      <c r="H186" s="142">
        <f t="shared" si="106"/>
        <v>97084.54810495631</v>
      </c>
      <c r="I186" s="142">
        <f t="shared" si="106"/>
        <v>106846.10578925446</v>
      </c>
      <c r="J186" s="142">
        <f t="shared" si="106"/>
        <v>113818.64699232462</v>
      </c>
      <c r="K186" s="142">
        <f t="shared" si="106"/>
        <v>118799.03356594608</v>
      </c>
      <c r="L186" s="142">
        <f t="shared" si="106"/>
        <v>122356.45254710421</v>
      </c>
      <c r="M186" s="142">
        <f t="shared" si="106"/>
        <v>124897.46610507478</v>
      </c>
      <c r="N186" s="142">
        <f t="shared" si="106"/>
        <v>126712.47578933931</v>
      </c>
      <c r="P186" s="2"/>
      <c r="Q186" s="2"/>
      <c r="R186" s="2"/>
    </row>
    <row r="187" spans="2:18" s="5" customFormat="1" ht="15" customHeight="1" x14ac:dyDescent="0.45">
      <c r="B187" s="124" t="s">
        <v>18</v>
      </c>
      <c r="C187" s="135">
        <v>20000</v>
      </c>
      <c r="D187" s="59" t="s">
        <v>19</v>
      </c>
      <c r="E187" s="29">
        <f>E151+E163+E175</f>
        <v>958.57142857142844</v>
      </c>
      <c r="F187" s="29">
        <f t="shared" ref="F187:N187" si="107">F151+F163+F175</f>
        <v>693.26530612244903</v>
      </c>
      <c r="G187" s="29">
        <f t="shared" si="107"/>
        <v>503.76093294460645</v>
      </c>
      <c r="H187" s="29">
        <f t="shared" si="107"/>
        <v>368.40066638900453</v>
      </c>
      <c r="I187" s="29">
        <f t="shared" si="107"/>
        <v>271.71476170643183</v>
      </c>
      <c r="J187" s="29">
        <f t="shared" si="107"/>
        <v>202.65340121887988</v>
      </c>
      <c r="K187" s="29">
        <f t="shared" si="107"/>
        <v>153.32385801348568</v>
      </c>
      <c r="L187" s="29">
        <f t="shared" si="107"/>
        <v>118.08847000963269</v>
      </c>
      <c r="M187" s="29">
        <f t="shared" si="107"/>
        <v>92.920335721166083</v>
      </c>
      <c r="N187" s="29">
        <f t="shared" si="107"/>
        <v>74.943096943690023</v>
      </c>
      <c r="P187" s="2"/>
      <c r="Q187" s="2"/>
      <c r="R187" s="2"/>
    </row>
    <row r="188" spans="2:18" s="5" customFormat="1" ht="15" customHeight="1" x14ac:dyDescent="0.45">
      <c r="B188" s="124"/>
      <c r="C188" s="135"/>
      <c r="D188" s="21" t="s">
        <v>22</v>
      </c>
      <c r="E188" s="29"/>
      <c r="F188" s="29"/>
      <c r="G188" s="29"/>
      <c r="H188" s="29"/>
      <c r="I188" s="30">
        <f>SUM(E187:I187)/5</f>
        <v>559.14261914678411</v>
      </c>
      <c r="J188" s="29"/>
      <c r="K188" s="29"/>
      <c r="L188" s="29"/>
      <c r="M188" s="29"/>
      <c r="N188" s="29">
        <f>SUM(E187:N187)/10</f>
        <v>343.76422576407742</v>
      </c>
      <c r="P188" s="2"/>
      <c r="Q188" s="2"/>
      <c r="R188" s="2"/>
    </row>
    <row r="189" spans="2:18" s="5" customFormat="1" ht="15" customHeight="1" x14ac:dyDescent="0.45">
      <c r="B189" s="124"/>
      <c r="C189" s="135"/>
      <c r="D189" s="21" t="s">
        <v>52</v>
      </c>
      <c r="E189" s="29">
        <f>E153+E165+E177</f>
        <v>672.85714285714278</v>
      </c>
      <c r="F189" s="29">
        <f t="shared" ref="F189:N190" si="108">F153+F165+F177</f>
        <v>1162.0408163265306</v>
      </c>
      <c r="G189" s="29">
        <f t="shared" si="108"/>
        <v>1520.0291545189505</v>
      </c>
      <c r="H189" s="29">
        <f t="shared" si="108"/>
        <v>1784.3065389421076</v>
      </c>
      <c r="I189" s="30">
        <f t="shared" si="108"/>
        <v>1981.6475278157911</v>
      </c>
      <c r="J189" s="29">
        <f t="shared" si="108"/>
        <v>2131.1768055827079</v>
      </c>
      <c r="K189" s="29">
        <f t="shared" si="108"/>
        <v>2246.5548611305048</v>
      </c>
      <c r="L189" s="29">
        <f t="shared" si="108"/>
        <v>2337.539186521788</v>
      </c>
      <c r="M189" s="29">
        <f t="shared" si="108"/>
        <v>2411.0994189441376</v>
      </c>
      <c r="N189" s="29">
        <f t="shared" si="108"/>
        <v>2472.2138706743858</v>
      </c>
      <c r="P189" s="2"/>
      <c r="Q189" s="2"/>
      <c r="R189" s="2"/>
    </row>
    <row r="190" spans="2:18" s="5" customFormat="1" ht="15" customHeight="1" x14ac:dyDescent="0.45">
      <c r="B190" s="124"/>
      <c r="C190" s="135">
        <v>400000</v>
      </c>
      <c r="D190" s="59" t="s">
        <v>19</v>
      </c>
      <c r="E190" s="29">
        <f>E154+E166+E178</f>
        <v>19171.428571428569</v>
      </c>
      <c r="F190" s="29">
        <f t="shared" si="108"/>
        <v>13865.306122448981</v>
      </c>
      <c r="G190" s="29">
        <f t="shared" si="108"/>
        <v>10075.21865889213</v>
      </c>
      <c r="H190" s="29">
        <f t="shared" si="108"/>
        <v>7368.0133277800905</v>
      </c>
      <c r="I190" s="29">
        <f t="shared" si="108"/>
        <v>5434.2952341286373</v>
      </c>
      <c r="J190" s="29">
        <f t="shared" si="108"/>
        <v>4053.0680243775978</v>
      </c>
      <c r="K190" s="29">
        <f t="shared" si="108"/>
        <v>3066.4771602697133</v>
      </c>
      <c r="L190" s="29">
        <f t="shared" si="108"/>
        <v>2361.7694001926538</v>
      </c>
      <c r="M190" s="29">
        <f t="shared" si="108"/>
        <v>1858.4067144233215</v>
      </c>
      <c r="N190" s="29">
        <f t="shared" si="108"/>
        <v>1498.8619388738005</v>
      </c>
      <c r="P190" s="2"/>
      <c r="Q190" s="2"/>
      <c r="R190" s="2"/>
    </row>
    <row r="191" spans="2:18" s="5" customFormat="1" ht="15" customHeight="1" x14ac:dyDescent="0.45">
      <c r="B191" s="124"/>
      <c r="C191" s="135"/>
      <c r="D191" s="21" t="s">
        <v>22</v>
      </c>
      <c r="E191" s="29"/>
      <c r="F191" s="29"/>
      <c r="G191" s="29"/>
      <c r="H191" s="29"/>
      <c r="I191" s="30">
        <f>SUM(E190:I190)/5</f>
        <v>11182.852382935682</v>
      </c>
      <c r="J191" s="29"/>
      <c r="K191" s="29"/>
      <c r="L191" s="29"/>
      <c r="M191" s="29"/>
      <c r="N191" s="29">
        <f>SUM(E190:N190)/10</f>
        <v>6875.2845152815516</v>
      </c>
      <c r="P191" s="2"/>
      <c r="Q191" s="2"/>
      <c r="R191" s="2"/>
    </row>
    <row r="192" spans="2:18" s="5" customFormat="1" ht="15" customHeight="1" x14ac:dyDescent="0.45">
      <c r="B192" s="124"/>
      <c r="C192" s="135"/>
      <c r="D192" s="21" t="s">
        <v>52</v>
      </c>
      <c r="E192" s="29">
        <f>E156+E168+E180</f>
        <v>13457.142857142855</v>
      </c>
      <c r="F192" s="29">
        <f t="shared" ref="F192:N193" si="109">F156+F168+F180</f>
        <v>23240.816326530614</v>
      </c>
      <c r="G192" s="29">
        <f t="shared" si="109"/>
        <v>30400.583090379012</v>
      </c>
      <c r="H192" s="29">
        <f t="shared" si="109"/>
        <v>35686.130778842155</v>
      </c>
      <c r="I192" s="30">
        <f t="shared" si="109"/>
        <v>39632.950556315816</v>
      </c>
      <c r="J192" s="29">
        <f t="shared" si="109"/>
        <v>42623.536111654161</v>
      </c>
      <c r="K192" s="29">
        <f t="shared" si="109"/>
        <v>44931.0972226101</v>
      </c>
      <c r="L192" s="29">
        <f t="shared" si="109"/>
        <v>46750.78373043576</v>
      </c>
      <c r="M192" s="29">
        <f t="shared" si="109"/>
        <v>48221.98837888275</v>
      </c>
      <c r="N192" s="29">
        <f t="shared" si="109"/>
        <v>49444.277413487711</v>
      </c>
      <c r="P192" s="2"/>
      <c r="Q192" s="2"/>
      <c r="R192" s="2"/>
    </row>
    <row r="193" spans="2:18" s="5" customFormat="1" ht="15" customHeight="1" x14ac:dyDescent="0.45">
      <c r="B193" s="124"/>
      <c r="C193" s="136">
        <v>1000000</v>
      </c>
      <c r="D193" s="17" t="s">
        <v>19</v>
      </c>
      <c r="E193" s="31">
        <f>E157+E169+E181</f>
        <v>47928.57142857142</v>
      </c>
      <c r="F193" s="31">
        <f t="shared" si="109"/>
        <v>34663.265306122456</v>
      </c>
      <c r="G193" s="31">
        <f t="shared" si="109"/>
        <v>25188.046647230323</v>
      </c>
      <c r="H193" s="31">
        <f t="shared" si="109"/>
        <v>18420.033319450224</v>
      </c>
      <c r="I193" s="31">
        <f t="shared" si="109"/>
        <v>13585.738085321591</v>
      </c>
      <c r="J193" s="31">
        <f t="shared" si="109"/>
        <v>10132.670060943994</v>
      </c>
      <c r="K193" s="31">
        <f t="shared" si="109"/>
        <v>7666.192900674283</v>
      </c>
      <c r="L193" s="31">
        <f t="shared" si="109"/>
        <v>5904.4235004816346</v>
      </c>
      <c r="M193" s="31">
        <f t="shared" si="109"/>
        <v>4646.0167860583033</v>
      </c>
      <c r="N193" s="31">
        <f t="shared" si="109"/>
        <v>3747.1548471845008</v>
      </c>
      <c r="P193" s="2"/>
      <c r="Q193" s="2"/>
      <c r="R193" s="2"/>
    </row>
    <row r="194" spans="2:18" s="5" customFormat="1" ht="15" customHeight="1" x14ac:dyDescent="0.45">
      <c r="B194" s="124"/>
      <c r="C194" s="136"/>
      <c r="D194" s="17" t="s">
        <v>22</v>
      </c>
      <c r="E194" s="31"/>
      <c r="F194" s="31"/>
      <c r="G194" s="31"/>
      <c r="H194" s="31"/>
      <c r="I194" s="32">
        <f>SUM(E193:I193)/5</f>
        <v>27957.130957339203</v>
      </c>
      <c r="J194" s="31"/>
      <c r="K194" s="31"/>
      <c r="L194" s="31"/>
      <c r="M194" s="31"/>
      <c r="N194" s="31">
        <f>SUM(E193:N193)/10</f>
        <v>17188.211288203871</v>
      </c>
      <c r="P194" s="2"/>
      <c r="Q194" s="2"/>
      <c r="R194" s="2"/>
    </row>
    <row r="195" spans="2:18" s="5" customFormat="1" ht="15" customHeight="1" x14ac:dyDescent="0.45">
      <c r="B195" s="124"/>
      <c r="C195" s="136"/>
      <c r="D195" s="17" t="s">
        <v>52</v>
      </c>
      <c r="E195" s="31">
        <f>E159+E171+E183</f>
        <v>33642.857142857138</v>
      </c>
      <c r="F195" s="31">
        <f t="shared" ref="F195:N196" si="110">F159+F171+F183</f>
        <v>58102.040816326531</v>
      </c>
      <c r="G195" s="31">
        <f t="shared" si="110"/>
        <v>76001.457725947519</v>
      </c>
      <c r="H195" s="31">
        <f t="shared" si="110"/>
        <v>89215.326947105394</v>
      </c>
      <c r="I195" s="32">
        <f t="shared" si="110"/>
        <v>99082.376390789563</v>
      </c>
      <c r="J195" s="31">
        <f t="shared" si="110"/>
        <v>106558.84027913539</v>
      </c>
      <c r="K195" s="31">
        <f t="shared" si="110"/>
        <v>112327.74305652524</v>
      </c>
      <c r="L195" s="31">
        <f t="shared" si="110"/>
        <v>116876.9593260894</v>
      </c>
      <c r="M195" s="31">
        <f t="shared" si="110"/>
        <v>120554.97094720689</v>
      </c>
      <c r="N195" s="31">
        <f t="shared" si="110"/>
        <v>123610.69353371928</v>
      </c>
      <c r="P195" s="2"/>
      <c r="Q195" s="2"/>
      <c r="R195" s="2"/>
    </row>
    <row r="196" spans="2:18" s="5" customFormat="1" ht="15" customHeight="1" x14ac:dyDescent="0.45">
      <c r="B196" s="124"/>
      <c r="C196" s="136">
        <v>2100000</v>
      </c>
      <c r="D196" s="17" t="s">
        <v>19</v>
      </c>
      <c r="E196" s="31">
        <f>E160+E172+E184</f>
        <v>100650</v>
      </c>
      <c r="F196" s="31">
        <f t="shared" si="110"/>
        <v>72792.85714285713</v>
      </c>
      <c r="G196" s="31">
        <f t="shared" si="110"/>
        <v>52894.897959183676</v>
      </c>
      <c r="H196" s="31">
        <f t="shared" si="110"/>
        <v>38682.069970845478</v>
      </c>
      <c r="I196" s="31">
        <f t="shared" si="110"/>
        <v>28530.049979175343</v>
      </c>
      <c r="J196" s="31">
        <f t="shared" si="110"/>
        <v>21278.607127982388</v>
      </c>
      <c r="K196" s="31">
        <f t="shared" si="110"/>
        <v>16099.005091415995</v>
      </c>
      <c r="L196" s="31">
        <f t="shared" si="110"/>
        <v>12399.289351011434</v>
      </c>
      <c r="M196" s="31">
        <f t="shared" si="110"/>
        <v>9756.6352507224383</v>
      </c>
      <c r="N196" s="31">
        <f t="shared" si="110"/>
        <v>7869.0251790874518</v>
      </c>
      <c r="P196" s="2"/>
      <c r="Q196" s="2"/>
      <c r="R196" s="2"/>
    </row>
    <row r="197" spans="2:18" s="5" customFormat="1" ht="15" customHeight="1" x14ac:dyDescent="0.45">
      <c r="B197" s="124"/>
      <c r="C197" s="136"/>
      <c r="D197" s="17" t="s">
        <v>22</v>
      </c>
      <c r="E197" s="31"/>
      <c r="F197" s="31"/>
      <c r="G197" s="31"/>
      <c r="H197" s="31"/>
      <c r="I197" s="32">
        <f>SUM(E196:I196)/5</f>
        <v>58709.975010412323</v>
      </c>
      <c r="J197" s="31"/>
      <c r="K197" s="31"/>
      <c r="L197" s="31"/>
      <c r="M197" s="31"/>
      <c r="N197" s="31">
        <f>SUM(E196:N196)/10</f>
        <v>36095.243705228138</v>
      </c>
      <c r="P197" s="2"/>
      <c r="Q197" s="2"/>
      <c r="R197" s="2"/>
    </row>
    <row r="198" spans="2:18" s="5" customFormat="1" ht="15" customHeight="1" x14ac:dyDescent="0.45">
      <c r="B198" s="124"/>
      <c r="C198" s="136"/>
      <c r="D198" s="17" t="s">
        <v>52</v>
      </c>
      <c r="E198" s="31">
        <f>E162+E174+E186</f>
        <v>70650</v>
      </c>
      <c r="F198" s="31">
        <f t="shared" ref="F198:N198" si="111">F162+F174+F186</f>
        <v>122014.28571428571</v>
      </c>
      <c r="G198" s="31">
        <f t="shared" si="111"/>
        <v>159603.06122448982</v>
      </c>
      <c r="H198" s="31">
        <f t="shared" si="111"/>
        <v>187352.18658892132</v>
      </c>
      <c r="I198" s="32">
        <f t="shared" si="111"/>
        <v>208072.99042065805</v>
      </c>
      <c r="J198" s="31">
        <f t="shared" si="111"/>
        <v>223773.56458618434</v>
      </c>
      <c r="K198" s="31">
        <f t="shared" si="111"/>
        <v>235888.26041870302</v>
      </c>
      <c r="L198" s="31">
        <f t="shared" si="111"/>
        <v>245441.61458478775</v>
      </c>
      <c r="M198" s="31">
        <f t="shared" si="111"/>
        <v>253165.43898913445</v>
      </c>
      <c r="N198" s="31">
        <f t="shared" si="111"/>
        <v>259582.45642081049</v>
      </c>
      <c r="P198" s="2"/>
      <c r="Q198" s="2"/>
      <c r="R198" s="2"/>
    </row>
    <row r="199" spans="2:18" s="5" customFormat="1" ht="15" customHeight="1" x14ac:dyDescent="0.45">
      <c r="B199" s="4"/>
      <c r="C199" s="1"/>
      <c r="D199" s="48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P199" s="2"/>
      <c r="Q199" s="2"/>
      <c r="R199" s="2"/>
    </row>
    <row r="200" spans="2:18" s="5" customFormat="1" ht="15" customHeight="1" x14ac:dyDescent="0.45">
      <c r="B200" s="2"/>
      <c r="C200" s="2"/>
      <c r="D200" s="1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P200" s="2"/>
      <c r="Q200" s="2"/>
      <c r="R200" s="2"/>
    </row>
  </sheetData>
  <mergeCells count="121">
    <mergeCell ref="B187:B198"/>
    <mergeCell ref="C187:C189"/>
    <mergeCell ref="C190:C192"/>
    <mergeCell ref="C193:C195"/>
    <mergeCell ref="C196:C198"/>
    <mergeCell ref="B163:B174"/>
    <mergeCell ref="C163:C165"/>
    <mergeCell ref="C166:C168"/>
    <mergeCell ref="C169:C171"/>
    <mergeCell ref="C172:C174"/>
    <mergeCell ref="B175:B186"/>
    <mergeCell ref="C175:C177"/>
    <mergeCell ref="C178:C180"/>
    <mergeCell ref="C181:C183"/>
    <mergeCell ref="C184:C186"/>
    <mergeCell ref="J149:J150"/>
    <mergeCell ref="K149:K150"/>
    <mergeCell ref="L149:L150"/>
    <mergeCell ref="M149:M150"/>
    <mergeCell ref="N149:N150"/>
    <mergeCell ref="B151:B162"/>
    <mergeCell ref="C151:C153"/>
    <mergeCell ref="C154:C156"/>
    <mergeCell ref="C157:C159"/>
    <mergeCell ref="C160:C162"/>
    <mergeCell ref="D149:D150"/>
    <mergeCell ref="E149:E150"/>
    <mergeCell ref="F149:F150"/>
    <mergeCell ref="G149:G150"/>
    <mergeCell ref="H149:H150"/>
    <mergeCell ref="I149:I150"/>
    <mergeCell ref="B133:B147"/>
    <mergeCell ref="C133:C137"/>
    <mergeCell ref="C138:C142"/>
    <mergeCell ref="C143:C147"/>
    <mergeCell ref="B149:B150"/>
    <mergeCell ref="C149:C150"/>
    <mergeCell ref="B106:B119"/>
    <mergeCell ref="C106:C109"/>
    <mergeCell ref="C110:C114"/>
    <mergeCell ref="C115:C119"/>
    <mergeCell ref="B120:B132"/>
    <mergeCell ref="C120:C124"/>
    <mergeCell ref="C125:C127"/>
    <mergeCell ref="C128:C132"/>
    <mergeCell ref="J91:J92"/>
    <mergeCell ref="K91:K92"/>
    <mergeCell ref="L91:L92"/>
    <mergeCell ref="M91:M92"/>
    <mergeCell ref="N91:N92"/>
    <mergeCell ref="B93:B105"/>
    <mergeCell ref="C93:C97"/>
    <mergeCell ref="C98:C100"/>
    <mergeCell ref="C101:C105"/>
    <mergeCell ref="B91:B92"/>
    <mergeCell ref="E91:E92"/>
    <mergeCell ref="F91:F92"/>
    <mergeCell ref="G91:G92"/>
    <mergeCell ref="H91:H92"/>
    <mergeCell ref="I91:I92"/>
    <mergeCell ref="B61:B74"/>
    <mergeCell ref="C61:C64"/>
    <mergeCell ref="C65:C69"/>
    <mergeCell ref="C70:C74"/>
    <mergeCell ref="B75:B89"/>
    <mergeCell ref="C75:C79"/>
    <mergeCell ref="C80:C84"/>
    <mergeCell ref="C85:C89"/>
    <mergeCell ref="J46:J47"/>
    <mergeCell ref="K46:K47"/>
    <mergeCell ref="L46:L47"/>
    <mergeCell ref="M46:M47"/>
    <mergeCell ref="N46:N47"/>
    <mergeCell ref="B48:B60"/>
    <mergeCell ref="C48:C52"/>
    <mergeCell ref="C53:C55"/>
    <mergeCell ref="C56:C60"/>
    <mergeCell ref="B46:B47"/>
    <mergeCell ref="E46:E47"/>
    <mergeCell ref="F46:F47"/>
    <mergeCell ref="G46:G47"/>
    <mergeCell ref="H46:H47"/>
    <mergeCell ref="I46:I47"/>
    <mergeCell ref="N29:N30"/>
    <mergeCell ref="B31:B44"/>
    <mergeCell ref="C31:C36"/>
    <mergeCell ref="C37:C39"/>
    <mergeCell ref="C40:C44"/>
    <mergeCell ref="B29:B30"/>
    <mergeCell ref="E29:E30"/>
    <mergeCell ref="F29:F30"/>
    <mergeCell ref="G29:G30"/>
    <mergeCell ref="H29:H30"/>
    <mergeCell ref="I29:I30"/>
    <mergeCell ref="B26:B27"/>
    <mergeCell ref="C26:C27"/>
    <mergeCell ref="H14:H15"/>
    <mergeCell ref="I14:I15"/>
    <mergeCell ref="J14:J15"/>
    <mergeCell ref="J29:J30"/>
    <mergeCell ref="K29:K30"/>
    <mergeCell ref="L29:L30"/>
    <mergeCell ref="M29:M30"/>
    <mergeCell ref="B18:B25"/>
    <mergeCell ref="C18:C25"/>
    <mergeCell ref="B2:C12"/>
    <mergeCell ref="D2:E3"/>
    <mergeCell ref="G2:I3"/>
    <mergeCell ref="K2:N2"/>
    <mergeCell ref="B14:B15"/>
    <mergeCell ref="C14:C15"/>
    <mergeCell ref="D14:D15"/>
    <mergeCell ref="E14:E15"/>
    <mergeCell ref="F14:F15"/>
    <mergeCell ref="G14:G15"/>
    <mergeCell ref="N14:N15"/>
    <mergeCell ref="K14:K15"/>
    <mergeCell ref="L14:L15"/>
    <mergeCell ref="M14:M15"/>
    <mergeCell ref="B16:B17"/>
    <mergeCell ref="C16:C17"/>
  </mergeCells>
  <conditionalFormatting sqref="E10">
    <cfRule type="cellIs" dxfId="2" priority="1" operator="lessThan">
      <formula>1</formula>
    </cfRule>
    <cfRule type="cellIs" dxfId="1" priority="2" operator="greaterThan">
      <formula>1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r:id="rId1"/>
  <ignoredErrors>
    <ignoredError sqref="I22 N22 I24 N2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A8B3-4D3D-4488-B4BF-24906CFC65EC}">
  <dimension ref="A1:N42"/>
  <sheetViews>
    <sheetView zoomScaleNormal="100" workbookViewId="0">
      <selection activeCell="B2" sqref="B2:B8"/>
    </sheetView>
  </sheetViews>
  <sheetFormatPr defaultRowHeight="15" customHeight="1" x14ac:dyDescent="0.45"/>
  <cols>
    <col min="1" max="1" width="1.73046875" style="2" customWidth="1"/>
    <col min="2" max="2" width="40.9296875" style="2" customWidth="1"/>
    <col min="3" max="3" width="24.1328125" style="2" bestFit="1" customWidth="1"/>
    <col min="4" max="13" width="13.6640625" style="2" customWidth="1"/>
    <col min="14" max="14" width="1.6640625" style="2" customWidth="1"/>
    <col min="15" max="15" width="14.46484375" style="2" customWidth="1"/>
    <col min="16" max="16" width="1.53125" style="2" customWidth="1"/>
    <col min="17" max="16384" width="9.06640625" style="2"/>
  </cols>
  <sheetData>
    <row r="1" spans="1:14" ht="1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2"/>
    </row>
    <row r="2" spans="1:14" ht="15" customHeight="1" x14ac:dyDescent="0.45">
      <c r="A2" s="5"/>
      <c r="B2" s="109" t="s">
        <v>82</v>
      </c>
      <c r="C2" s="120" t="s">
        <v>28</v>
      </c>
      <c r="D2" s="113"/>
      <c r="E2" s="6"/>
      <c r="F2" s="137" t="s">
        <v>23</v>
      </c>
      <c r="G2" s="137"/>
      <c r="H2" s="137"/>
      <c r="I2" s="137"/>
      <c r="J2" s="7"/>
      <c r="K2" s="7"/>
      <c r="L2" s="7"/>
      <c r="M2" s="7"/>
      <c r="N2" s="5"/>
    </row>
    <row r="3" spans="1:14" ht="15" customHeight="1" x14ac:dyDescent="0.45">
      <c r="A3" s="5"/>
      <c r="B3" s="109"/>
      <c r="C3" s="114"/>
      <c r="D3" s="115"/>
      <c r="E3" s="6"/>
      <c r="F3" s="137"/>
      <c r="G3" s="137"/>
      <c r="H3" s="137"/>
      <c r="I3" s="137"/>
      <c r="J3" s="7"/>
      <c r="K3" s="7"/>
      <c r="L3" s="7"/>
      <c r="M3" s="7"/>
      <c r="N3" s="5"/>
    </row>
    <row r="4" spans="1:14" ht="15" customHeight="1" x14ac:dyDescent="0.45">
      <c r="A4" s="5"/>
      <c r="B4" s="109"/>
      <c r="C4" s="37" t="s">
        <v>2</v>
      </c>
      <c r="D4" s="38">
        <v>100000</v>
      </c>
      <c r="E4" s="6"/>
      <c r="F4" s="74" t="s">
        <v>24</v>
      </c>
      <c r="G4" s="60"/>
      <c r="H4" s="76"/>
      <c r="I4" s="86">
        <v>314.25</v>
      </c>
      <c r="J4" s="7"/>
      <c r="K4" s="7"/>
      <c r="L4" s="7"/>
      <c r="M4" s="7"/>
      <c r="N4" s="5"/>
    </row>
    <row r="5" spans="1:14" ht="15" customHeight="1" x14ac:dyDescent="0.45">
      <c r="A5" s="5"/>
      <c r="B5" s="109"/>
      <c r="C5" s="7"/>
      <c r="D5" s="7"/>
      <c r="E5" s="5"/>
      <c r="F5" s="74" t="s">
        <v>25</v>
      </c>
      <c r="G5" s="60"/>
      <c r="H5" s="76"/>
      <c r="I5" s="87">
        <v>42005</v>
      </c>
      <c r="J5" s="7"/>
      <c r="K5" s="7"/>
      <c r="L5" s="7"/>
      <c r="M5" s="7"/>
      <c r="N5" s="5"/>
    </row>
    <row r="6" spans="1:14" ht="15" customHeight="1" x14ac:dyDescent="0.45">
      <c r="A6" s="5"/>
      <c r="B6" s="109"/>
      <c r="C6" s="7"/>
      <c r="D6" s="7"/>
      <c r="E6" s="5"/>
      <c r="F6" s="74" t="s">
        <v>26</v>
      </c>
      <c r="G6" s="60"/>
      <c r="H6" s="76"/>
      <c r="I6" s="86">
        <v>94443.520000000004</v>
      </c>
      <c r="J6" s="7"/>
      <c r="K6" s="7"/>
      <c r="L6" s="7"/>
      <c r="M6" s="7"/>
      <c r="N6" s="5"/>
    </row>
    <row r="7" spans="1:14" ht="15" customHeight="1" x14ac:dyDescent="0.45">
      <c r="A7" s="5"/>
      <c r="B7" s="109"/>
      <c r="C7" s="7"/>
      <c r="D7" s="7"/>
      <c r="E7" s="5"/>
      <c r="F7" s="74" t="s">
        <v>27</v>
      </c>
      <c r="G7" s="60"/>
      <c r="H7" s="76"/>
      <c r="I7" s="87">
        <v>45658</v>
      </c>
      <c r="J7" s="7"/>
      <c r="K7" s="7"/>
      <c r="L7" s="7"/>
      <c r="M7" s="7"/>
      <c r="N7" s="5"/>
    </row>
    <row r="8" spans="1:14" ht="15" customHeight="1" x14ac:dyDescent="0.45">
      <c r="A8" s="61"/>
      <c r="B8" s="111"/>
      <c r="C8" s="7"/>
      <c r="D8" s="7"/>
      <c r="F8" s="21" t="s">
        <v>29</v>
      </c>
      <c r="G8" s="60"/>
      <c r="H8" s="76"/>
      <c r="I8" s="75">
        <f>(I6/I4)^(1/DATEDIF(I5,I7,"Y"))-1</f>
        <v>0.76925197017405411</v>
      </c>
      <c r="J8" s="7"/>
      <c r="K8" s="7"/>
      <c r="L8" s="7"/>
      <c r="M8" s="7"/>
      <c r="N8" s="5"/>
    </row>
    <row r="9" spans="1:14" ht="15" customHeight="1" x14ac:dyDescent="0.45">
      <c r="A9" s="1"/>
      <c r="B9" s="1"/>
      <c r="C9" s="77"/>
      <c r="D9" s="7"/>
      <c r="E9" s="6"/>
      <c r="F9" s="7"/>
      <c r="G9" s="7"/>
      <c r="H9" s="7"/>
      <c r="I9" s="7"/>
      <c r="J9" s="7"/>
      <c r="K9" s="7"/>
      <c r="L9" s="7"/>
      <c r="M9" s="7"/>
      <c r="N9" s="5"/>
    </row>
    <row r="10" spans="1:14" ht="30" customHeight="1" x14ac:dyDescent="0.45">
      <c r="A10" s="5"/>
      <c r="B10" s="88" t="s">
        <v>70</v>
      </c>
      <c r="C10" s="89"/>
      <c r="D10" s="121" t="s">
        <v>3</v>
      </c>
      <c r="E10" s="121" t="s">
        <v>4</v>
      </c>
      <c r="F10" s="121" t="s">
        <v>5</v>
      </c>
      <c r="G10" s="121" t="s">
        <v>6</v>
      </c>
      <c r="H10" s="121" t="s">
        <v>7</v>
      </c>
      <c r="I10" s="121" t="s">
        <v>8</v>
      </c>
      <c r="J10" s="121" t="s">
        <v>9</v>
      </c>
      <c r="K10" s="121" t="s">
        <v>10</v>
      </c>
      <c r="L10" s="121" t="s">
        <v>11</v>
      </c>
      <c r="M10" s="121" t="s">
        <v>12</v>
      </c>
      <c r="N10" s="8"/>
    </row>
    <row r="11" spans="1:14" ht="30" customHeight="1" x14ac:dyDescent="0.45">
      <c r="A11" s="5"/>
      <c r="B11" s="46" t="s">
        <v>30</v>
      </c>
      <c r="C11" s="46" t="s">
        <v>65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5"/>
    </row>
    <row r="12" spans="1:14" ht="15" customHeight="1" x14ac:dyDescent="0.45">
      <c r="A12" s="5"/>
      <c r="B12" s="138">
        <v>0.2</v>
      </c>
      <c r="C12" s="72" t="s">
        <v>0</v>
      </c>
      <c r="D12" s="62">
        <f>($D$4 * $B12) + $D$4</f>
        <v>120000</v>
      </c>
      <c r="E12" s="63">
        <f>(D12 * $B12) + D12</f>
        <v>144000</v>
      </c>
      <c r="F12" s="63">
        <f t="shared" ref="F12:M12" si="0">(E12 * $B12) + E12</f>
        <v>172800</v>
      </c>
      <c r="G12" s="63">
        <f t="shared" si="0"/>
        <v>207360</v>
      </c>
      <c r="H12" s="63">
        <f t="shared" si="0"/>
        <v>248832</v>
      </c>
      <c r="I12" s="63">
        <f t="shared" si="0"/>
        <v>298598.40000000002</v>
      </c>
      <c r="J12" s="63">
        <f t="shared" si="0"/>
        <v>358318.08000000002</v>
      </c>
      <c r="K12" s="63">
        <f t="shared" si="0"/>
        <v>429981.696</v>
      </c>
      <c r="L12" s="63">
        <f t="shared" si="0"/>
        <v>515978.03519999998</v>
      </c>
      <c r="M12" s="63">
        <f t="shared" si="0"/>
        <v>619173.64223999996</v>
      </c>
      <c r="N12" s="9"/>
    </row>
    <row r="13" spans="1:14" ht="15" customHeight="1" x14ac:dyDescent="0.45">
      <c r="A13" s="5"/>
      <c r="B13" s="138"/>
      <c r="C13" s="71" t="s">
        <v>1</v>
      </c>
      <c r="D13" s="64">
        <f>D12*21000000</f>
        <v>2520000000000</v>
      </c>
      <c r="E13" s="65">
        <f t="shared" ref="E13:M13" si="1">E12*21000000</f>
        <v>3024000000000</v>
      </c>
      <c r="F13" s="65">
        <f t="shared" si="1"/>
        <v>3628800000000</v>
      </c>
      <c r="G13" s="65">
        <f t="shared" si="1"/>
        <v>4354560000000</v>
      </c>
      <c r="H13" s="65">
        <f t="shared" si="1"/>
        <v>5225472000000</v>
      </c>
      <c r="I13" s="65">
        <f t="shared" si="1"/>
        <v>6270566400000.001</v>
      </c>
      <c r="J13" s="65">
        <f t="shared" si="1"/>
        <v>7524679680000</v>
      </c>
      <c r="K13" s="65">
        <f t="shared" si="1"/>
        <v>9029615616000</v>
      </c>
      <c r="L13" s="65">
        <f t="shared" si="1"/>
        <v>10835538739200</v>
      </c>
      <c r="M13" s="65">
        <f t="shared" si="1"/>
        <v>13002646487040</v>
      </c>
      <c r="N13" s="9"/>
    </row>
    <row r="14" spans="1:14" ht="15" customHeight="1" x14ac:dyDescent="0.45">
      <c r="A14" s="5"/>
      <c r="B14" s="138"/>
      <c r="C14" s="73" t="s">
        <v>14</v>
      </c>
      <c r="D14" s="66">
        <f>( ( D12 - $D$4 ) ) / D12</f>
        <v>0.16666666666666666</v>
      </c>
      <c r="E14" s="66">
        <f t="shared" ref="E14:M14" si="2">( ( E12 - $D$4 ) ) / E12</f>
        <v>0.30555555555555558</v>
      </c>
      <c r="F14" s="66">
        <f t="shared" si="2"/>
        <v>0.42129629629629628</v>
      </c>
      <c r="G14" s="66">
        <f t="shared" si="2"/>
        <v>0.51774691358024694</v>
      </c>
      <c r="H14" s="67">
        <f t="shared" si="2"/>
        <v>0.5981224279835391</v>
      </c>
      <c r="I14" s="66">
        <f t="shared" si="2"/>
        <v>0.66510202331961599</v>
      </c>
      <c r="J14" s="66">
        <f t="shared" si="2"/>
        <v>0.72091835276634664</v>
      </c>
      <c r="K14" s="66">
        <f t="shared" si="2"/>
        <v>0.76743196063862218</v>
      </c>
      <c r="L14" s="66">
        <f t="shared" si="2"/>
        <v>0.80619330053218508</v>
      </c>
      <c r="M14" s="66">
        <f t="shared" si="2"/>
        <v>0.83849441711015427</v>
      </c>
      <c r="N14" s="10"/>
    </row>
    <row r="15" spans="1:14" ht="15" customHeight="1" x14ac:dyDescent="0.45">
      <c r="A15" s="5"/>
      <c r="B15" s="138"/>
      <c r="C15" s="73" t="s">
        <v>13</v>
      </c>
      <c r="D15" s="66">
        <f>1-D14</f>
        <v>0.83333333333333337</v>
      </c>
      <c r="E15" s="66">
        <f t="shared" ref="E15:M15" si="3">1-E14</f>
        <v>0.69444444444444442</v>
      </c>
      <c r="F15" s="66">
        <f t="shared" si="3"/>
        <v>0.57870370370370372</v>
      </c>
      <c r="G15" s="66">
        <f t="shared" si="3"/>
        <v>0.48225308641975306</v>
      </c>
      <c r="H15" s="67">
        <f t="shared" si="3"/>
        <v>0.4018775720164609</v>
      </c>
      <c r="I15" s="66">
        <f t="shared" si="3"/>
        <v>0.33489797668038401</v>
      </c>
      <c r="J15" s="66">
        <f t="shared" si="3"/>
        <v>0.27908164723365336</v>
      </c>
      <c r="K15" s="66">
        <f t="shared" si="3"/>
        <v>0.23256803936137782</v>
      </c>
      <c r="L15" s="66">
        <f t="shared" si="3"/>
        <v>0.19380669946781492</v>
      </c>
      <c r="M15" s="66">
        <f t="shared" si="3"/>
        <v>0.16150558288984573</v>
      </c>
      <c r="N15" s="10"/>
    </row>
    <row r="16" spans="1:14" ht="15" customHeight="1" x14ac:dyDescent="0.45">
      <c r="A16" s="5"/>
      <c r="B16" s="138"/>
      <c r="C16" s="71" t="s">
        <v>15</v>
      </c>
      <c r="D16" s="68">
        <f>D14</f>
        <v>0.16666666666666666</v>
      </c>
      <c r="E16" s="69">
        <f>E14-D14</f>
        <v>0.13888888888888892</v>
      </c>
      <c r="F16" s="69">
        <f>F14-E14</f>
        <v>0.1157407407407407</v>
      </c>
      <c r="G16" s="69">
        <f t="shared" ref="G16:M16" si="4">G14-F14</f>
        <v>9.6450617283950657E-2</v>
      </c>
      <c r="H16" s="69">
        <f t="shared" si="4"/>
        <v>8.0375514403292159E-2</v>
      </c>
      <c r="I16" s="69">
        <f t="shared" si="4"/>
        <v>6.6979595336076891E-2</v>
      </c>
      <c r="J16" s="69">
        <f t="shared" si="4"/>
        <v>5.581632944673065E-2</v>
      </c>
      <c r="K16" s="69">
        <f t="shared" si="4"/>
        <v>4.6513607872275542E-2</v>
      </c>
      <c r="L16" s="69">
        <f t="shared" si="4"/>
        <v>3.8761339893562896E-2</v>
      </c>
      <c r="M16" s="69">
        <f t="shared" si="4"/>
        <v>3.2301116577969191E-2</v>
      </c>
      <c r="N16" s="9"/>
    </row>
    <row r="17" spans="1:14" ht="15" customHeight="1" x14ac:dyDescent="0.45">
      <c r="A17" s="5"/>
      <c r="B17" s="141"/>
      <c r="C17" s="71" t="s">
        <v>31</v>
      </c>
      <c r="D17" s="68"/>
      <c r="E17" s="69"/>
      <c r="F17" s="69"/>
      <c r="G17" s="69"/>
      <c r="H17" s="69">
        <f>SUM(D16:H16)/5</f>
        <v>0.11962448559670782</v>
      </c>
      <c r="I17" s="70"/>
      <c r="J17" s="70"/>
      <c r="K17" s="70"/>
      <c r="L17" s="70"/>
      <c r="M17" s="69">
        <f>SUM(D16:M16)/10</f>
        <v>8.3849441711015424E-2</v>
      </c>
      <c r="N17" s="9"/>
    </row>
    <row r="18" spans="1:14" ht="15" customHeight="1" x14ac:dyDescent="0.45">
      <c r="A18" s="5"/>
      <c r="B18" s="140">
        <v>0.25</v>
      </c>
      <c r="C18" s="71" t="s">
        <v>0</v>
      </c>
      <c r="D18" s="62">
        <f>($D$4 * $B18) + $D$4</f>
        <v>125000</v>
      </c>
      <c r="E18" s="63">
        <f>(D18 * $B18) + D18</f>
        <v>156250</v>
      </c>
      <c r="F18" s="63">
        <f t="shared" ref="F18:M18" si="5">(E18 * $B18) + E18</f>
        <v>195312.5</v>
      </c>
      <c r="G18" s="63">
        <f t="shared" si="5"/>
        <v>244140.625</v>
      </c>
      <c r="H18" s="63">
        <f t="shared" si="5"/>
        <v>305175.78125</v>
      </c>
      <c r="I18" s="63">
        <f t="shared" si="5"/>
        <v>381469.7265625</v>
      </c>
      <c r="J18" s="63">
        <f t="shared" si="5"/>
        <v>476837.158203125</v>
      </c>
      <c r="K18" s="63">
        <f t="shared" si="5"/>
        <v>596046.44775390625</v>
      </c>
      <c r="L18" s="63">
        <f t="shared" si="5"/>
        <v>745058.05969238281</v>
      </c>
      <c r="M18" s="63">
        <f t="shared" si="5"/>
        <v>931322.57461547852</v>
      </c>
      <c r="N18" s="5"/>
    </row>
    <row r="19" spans="1:14" ht="15" customHeight="1" x14ac:dyDescent="0.45">
      <c r="A19" s="5"/>
      <c r="B19" s="138"/>
      <c r="C19" s="71" t="s">
        <v>1</v>
      </c>
      <c r="D19" s="64">
        <f>D18*21000000</f>
        <v>2625000000000</v>
      </c>
      <c r="E19" s="65">
        <f t="shared" ref="E19:M19" si="6">E18*21000000</f>
        <v>3281250000000</v>
      </c>
      <c r="F19" s="65">
        <f t="shared" si="6"/>
        <v>4101562500000</v>
      </c>
      <c r="G19" s="65">
        <f t="shared" si="6"/>
        <v>5126953125000</v>
      </c>
      <c r="H19" s="65">
        <f t="shared" si="6"/>
        <v>6408691406250</v>
      </c>
      <c r="I19" s="65">
        <f t="shared" si="6"/>
        <v>8010864257812.5</v>
      </c>
      <c r="J19" s="65">
        <f t="shared" si="6"/>
        <v>10013580322265.625</v>
      </c>
      <c r="K19" s="65">
        <f t="shared" si="6"/>
        <v>12516975402832.031</v>
      </c>
      <c r="L19" s="65">
        <f t="shared" si="6"/>
        <v>15646219253540.039</v>
      </c>
      <c r="M19" s="65">
        <f t="shared" si="6"/>
        <v>19557774066925.047</v>
      </c>
      <c r="N19" s="5"/>
    </row>
    <row r="20" spans="1:14" ht="15" customHeight="1" x14ac:dyDescent="0.45">
      <c r="A20" s="5"/>
      <c r="B20" s="138"/>
      <c r="C20" s="73" t="s">
        <v>14</v>
      </c>
      <c r="D20" s="66">
        <f>( ( D18 - $D$4 ) ) / D18</f>
        <v>0.2</v>
      </c>
      <c r="E20" s="66">
        <f t="shared" ref="E20:M20" si="7">( ( E18 - $D$4 ) ) / E18</f>
        <v>0.36</v>
      </c>
      <c r="F20" s="66">
        <f t="shared" si="7"/>
        <v>0.48799999999999999</v>
      </c>
      <c r="G20" s="66">
        <f t="shared" si="7"/>
        <v>0.59040000000000004</v>
      </c>
      <c r="H20" s="67">
        <f t="shared" si="7"/>
        <v>0.67232000000000003</v>
      </c>
      <c r="I20" s="66">
        <f t="shared" si="7"/>
        <v>0.73785599999999996</v>
      </c>
      <c r="J20" s="66">
        <f t="shared" si="7"/>
        <v>0.79028480000000001</v>
      </c>
      <c r="K20" s="66">
        <f t="shared" si="7"/>
        <v>0.83222784000000005</v>
      </c>
      <c r="L20" s="66">
        <f t="shared" si="7"/>
        <v>0.86578227200000002</v>
      </c>
      <c r="M20" s="66">
        <f t="shared" si="7"/>
        <v>0.89262581760000004</v>
      </c>
      <c r="N20" s="5"/>
    </row>
    <row r="21" spans="1:14" ht="15" customHeight="1" x14ac:dyDescent="0.45">
      <c r="A21" s="5"/>
      <c r="B21" s="138"/>
      <c r="C21" s="73" t="s">
        <v>13</v>
      </c>
      <c r="D21" s="66">
        <f>1-D20</f>
        <v>0.8</v>
      </c>
      <c r="E21" s="66">
        <f t="shared" ref="E21:M21" si="8">1-E20</f>
        <v>0.64</v>
      </c>
      <c r="F21" s="66">
        <f t="shared" si="8"/>
        <v>0.51200000000000001</v>
      </c>
      <c r="G21" s="66">
        <f t="shared" si="8"/>
        <v>0.40959999999999996</v>
      </c>
      <c r="H21" s="67">
        <f t="shared" si="8"/>
        <v>0.32767999999999997</v>
      </c>
      <c r="I21" s="66">
        <f t="shared" si="8"/>
        <v>0.26214400000000004</v>
      </c>
      <c r="J21" s="66">
        <f t="shared" si="8"/>
        <v>0.20971519999999999</v>
      </c>
      <c r="K21" s="66">
        <f t="shared" si="8"/>
        <v>0.16777215999999995</v>
      </c>
      <c r="L21" s="66">
        <f t="shared" si="8"/>
        <v>0.13421772799999998</v>
      </c>
      <c r="M21" s="66">
        <f t="shared" si="8"/>
        <v>0.10737418239999996</v>
      </c>
      <c r="N21" s="5"/>
    </row>
    <row r="22" spans="1:14" ht="15" customHeight="1" x14ac:dyDescent="0.45">
      <c r="A22" s="5"/>
      <c r="B22" s="138"/>
      <c r="C22" s="71" t="s">
        <v>15</v>
      </c>
      <c r="D22" s="68">
        <f>D20</f>
        <v>0.2</v>
      </c>
      <c r="E22" s="69">
        <f>E20-D20</f>
        <v>0.15999999999999998</v>
      </c>
      <c r="F22" s="69">
        <f>F20-E20</f>
        <v>0.128</v>
      </c>
      <c r="G22" s="69">
        <f t="shared" ref="G22" si="9">G20-F20</f>
        <v>0.10240000000000005</v>
      </c>
      <c r="H22" s="69">
        <f t="shared" ref="H22" si="10">H20-G20</f>
        <v>8.1919999999999993E-2</v>
      </c>
      <c r="I22" s="69">
        <f t="shared" ref="I22" si="11">I20-H20</f>
        <v>6.5535999999999928E-2</v>
      </c>
      <c r="J22" s="69">
        <f t="shared" ref="J22" si="12">J20-I20</f>
        <v>5.2428800000000053E-2</v>
      </c>
      <c r="K22" s="69">
        <f t="shared" ref="K22" si="13">K20-J20</f>
        <v>4.1943040000000043E-2</v>
      </c>
      <c r="L22" s="69">
        <f t="shared" ref="L22" si="14">L20-K20</f>
        <v>3.3554431999999967E-2</v>
      </c>
      <c r="M22" s="69">
        <f t="shared" ref="M22" si="15">M20-L20</f>
        <v>2.6843545600000018E-2</v>
      </c>
      <c r="N22" s="5"/>
    </row>
    <row r="23" spans="1:14" ht="15" customHeight="1" x14ac:dyDescent="0.45">
      <c r="A23" s="5"/>
      <c r="B23" s="141"/>
      <c r="C23" s="71" t="s">
        <v>31</v>
      </c>
      <c r="D23" s="68"/>
      <c r="E23" s="69"/>
      <c r="F23" s="69"/>
      <c r="G23" s="69"/>
      <c r="H23" s="69">
        <f>SUM(D22:H22)/5</f>
        <v>0.134464</v>
      </c>
      <c r="I23" s="70"/>
      <c r="J23" s="70"/>
      <c r="K23" s="70"/>
      <c r="L23" s="70"/>
      <c r="M23" s="69">
        <f>SUM(D22:M22)/10</f>
        <v>8.9262581760000001E-2</v>
      </c>
      <c r="N23" s="5"/>
    </row>
    <row r="24" spans="1:14" ht="15" customHeight="1" x14ac:dyDescent="0.45">
      <c r="A24" s="5"/>
      <c r="B24" s="140">
        <v>0.3</v>
      </c>
      <c r="C24" s="71" t="s">
        <v>0</v>
      </c>
      <c r="D24" s="62">
        <f>($D$4 * $B24) + $D$4</f>
        <v>130000</v>
      </c>
      <c r="E24" s="63">
        <f>(D24 * $B24) + D24</f>
        <v>169000</v>
      </c>
      <c r="F24" s="63">
        <f t="shared" ref="F24:M24" si="16">(E24 * $B24) + E24</f>
        <v>219700</v>
      </c>
      <c r="G24" s="63">
        <f t="shared" si="16"/>
        <v>285610</v>
      </c>
      <c r="H24" s="63">
        <f t="shared" si="16"/>
        <v>371293</v>
      </c>
      <c r="I24" s="63">
        <f t="shared" si="16"/>
        <v>482680.9</v>
      </c>
      <c r="J24" s="63">
        <f t="shared" si="16"/>
        <v>627485.17000000004</v>
      </c>
      <c r="K24" s="63">
        <f t="shared" si="16"/>
        <v>815730.72100000002</v>
      </c>
      <c r="L24" s="63">
        <f t="shared" si="16"/>
        <v>1060449.9373000001</v>
      </c>
      <c r="M24" s="63">
        <f t="shared" si="16"/>
        <v>1378584.9184900001</v>
      </c>
      <c r="N24" s="5"/>
    </row>
    <row r="25" spans="1:14" ht="15" customHeight="1" x14ac:dyDescent="0.45">
      <c r="A25" s="5"/>
      <c r="B25" s="138"/>
      <c r="C25" s="71" t="s">
        <v>1</v>
      </c>
      <c r="D25" s="64">
        <f>D24*21000000</f>
        <v>2730000000000</v>
      </c>
      <c r="E25" s="65">
        <f t="shared" ref="E25:M25" si="17">E24*21000000</f>
        <v>3549000000000</v>
      </c>
      <c r="F25" s="65">
        <f t="shared" si="17"/>
        <v>4613700000000</v>
      </c>
      <c r="G25" s="65">
        <f t="shared" si="17"/>
        <v>5997810000000</v>
      </c>
      <c r="H25" s="65">
        <f t="shared" si="17"/>
        <v>7797153000000</v>
      </c>
      <c r="I25" s="65">
        <f t="shared" si="17"/>
        <v>10136298900000</v>
      </c>
      <c r="J25" s="65">
        <f t="shared" si="17"/>
        <v>13177188570000</v>
      </c>
      <c r="K25" s="65">
        <f t="shared" si="17"/>
        <v>17130345141000</v>
      </c>
      <c r="L25" s="65">
        <f t="shared" si="17"/>
        <v>22269448683300.004</v>
      </c>
      <c r="M25" s="65">
        <f t="shared" si="17"/>
        <v>28950283288290</v>
      </c>
      <c r="N25" s="5"/>
    </row>
    <row r="26" spans="1:14" ht="15" customHeight="1" x14ac:dyDescent="0.45">
      <c r="A26" s="5"/>
      <c r="B26" s="138"/>
      <c r="C26" s="73" t="s">
        <v>14</v>
      </c>
      <c r="D26" s="66">
        <f>( ( D24 - $D$4 ) ) / D24</f>
        <v>0.23076923076923078</v>
      </c>
      <c r="E26" s="66">
        <f t="shared" ref="E26:M26" si="18">( ( E24 - $D$4 ) ) / E24</f>
        <v>0.40828402366863903</v>
      </c>
      <c r="F26" s="66">
        <f t="shared" si="18"/>
        <v>0.54483386436049153</v>
      </c>
      <c r="G26" s="66">
        <f t="shared" si="18"/>
        <v>0.64987220335422424</v>
      </c>
      <c r="H26" s="67">
        <f t="shared" si="18"/>
        <v>0.73067092565709557</v>
      </c>
      <c r="I26" s="66">
        <f t="shared" si="18"/>
        <v>0.79282378896699668</v>
      </c>
      <c r="J26" s="66">
        <f t="shared" si="18"/>
        <v>0.84063368382076664</v>
      </c>
      <c r="K26" s="66">
        <f t="shared" si="18"/>
        <v>0.87741052601597436</v>
      </c>
      <c r="L26" s="66">
        <f t="shared" si="18"/>
        <v>0.90570040462767254</v>
      </c>
      <c r="M26" s="66">
        <f t="shared" si="18"/>
        <v>0.92746184971359424</v>
      </c>
      <c r="N26" s="5"/>
    </row>
    <row r="27" spans="1:14" ht="15" customHeight="1" x14ac:dyDescent="0.45">
      <c r="A27" s="5"/>
      <c r="B27" s="138"/>
      <c r="C27" s="73" t="s">
        <v>13</v>
      </c>
      <c r="D27" s="66">
        <f>1-D26</f>
        <v>0.76923076923076916</v>
      </c>
      <c r="E27" s="66">
        <f t="shared" ref="E27:M27" si="19">1-E26</f>
        <v>0.59171597633136097</v>
      </c>
      <c r="F27" s="66">
        <f t="shared" si="19"/>
        <v>0.45516613563950847</v>
      </c>
      <c r="G27" s="66">
        <f t="shared" si="19"/>
        <v>0.35012779664577576</v>
      </c>
      <c r="H27" s="67">
        <f t="shared" si="19"/>
        <v>0.26932907434290443</v>
      </c>
      <c r="I27" s="66">
        <f t="shared" si="19"/>
        <v>0.20717621103300332</v>
      </c>
      <c r="J27" s="66">
        <f t="shared" si="19"/>
        <v>0.15936631617923336</v>
      </c>
      <c r="K27" s="66">
        <f t="shared" si="19"/>
        <v>0.12258947398402564</v>
      </c>
      <c r="L27" s="66">
        <f t="shared" si="19"/>
        <v>9.429959537232746E-2</v>
      </c>
      <c r="M27" s="66">
        <f t="shared" si="19"/>
        <v>7.2538150286405756E-2</v>
      </c>
      <c r="N27" s="5"/>
    </row>
    <row r="28" spans="1:14" ht="15" customHeight="1" x14ac:dyDescent="0.45">
      <c r="A28" s="5"/>
      <c r="B28" s="138"/>
      <c r="C28" s="71" t="s">
        <v>15</v>
      </c>
      <c r="D28" s="68">
        <f>D26</f>
        <v>0.23076923076923078</v>
      </c>
      <c r="E28" s="69">
        <f>E26-D26</f>
        <v>0.17751479289940825</v>
      </c>
      <c r="F28" s="69">
        <f>F26-E26</f>
        <v>0.1365498406918525</v>
      </c>
      <c r="G28" s="69">
        <f t="shared" ref="G28" si="20">G26-F26</f>
        <v>0.10503833899373272</v>
      </c>
      <c r="H28" s="69">
        <f t="shared" ref="H28" si="21">H26-G26</f>
        <v>8.0798722302871329E-2</v>
      </c>
      <c r="I28" s="69">
        <f t="shared" ref="I28" si="22">I26-H26</f>
        <v>6.2152863309901107E-2</v>
      </c>
      <c r="J28" s="69">
        <f t="shared" ref="J28" si="23">J26-I26</f>
        <v>4.7809894853769963E-2</v>
      </c>
      <c r="K28" s="69">
        <f t="shared" ref="K28" si="24">K26-J26</f>
        <v>3.6776842195207715E-2</v>
      </c>
      <c r="L28" s="69">
        <f t="shared" ref="L28" si="25">L26-K26</f>
        <v>2.8289878611698183E-2</v>
      </c>
      <c r="M28" s="69">
        <f t="shared" ref="M28" si="26">M26-L26</f>
        <v>2.1761445085921705E-2</v>
      </c>
      <c r="N28" s="5"/>
    </row>
    <row r="29" spans="1:14" ht="15" customHeight="1" x14ac:dyDescent="0.45">
      <c r="A29" s="5"/>
      <c r="B29" s="141"/>
      <c r="C29" s="71" t="s">
        <v>31</v>
      </c>
      <c r="D29" s="68"/>
      <c r="E29" s="69"/>
      <c r="F29" s="69"/>
      <c r="G29" s="69"/>
      <c r="H29" s="69">
        <f>SUM(D28:H28)/5</f>
        <v>0.14613418513141913</v>
      </c>
      <c r="I29" s="70"/>
      <c r="J29" s="70"/>
      <c r="K29" s="70"/>
      <c r="L29" s="70"/>
      <c r="M29" s="69">
        <f>SUM(D28:M28)/10</f>
        <v>9.2746184971359419E-2</v>
      </c>
      <c r="N29" s="5"/>
    </row>
    <row r="30" spans="1:14" ht="15" customHeight="1" x14ac:dyDescent="0.45">
      <c r="A30" s="5"/>
      <c r="B30" s="140">
        <v>0.35</v>
      </c>
      <c r="C30" s="71" t="s">
        <v>0</v>
      </c>
      <c r="D30" s="62">
        <f>($D$4 * $B30) + $D$4</f>
        <v>135000</v>
      </c>
      <c r="E30" s="63">
        <f>(D30 * $B30) + D30</f>
        <v>182250</v>
      </c>
      <c r="F30" s="63">
        <f t="shared" ref="F30:M30" si="27">(E30 * $B30) + E30</f>
        <v>246037.5</v>
      </c>
      <c r="G30" s="63">
        <f t="shared" si="27"/>
        <v>332150.625</v>
      </c>
      <c r="H30" s="63">
        <f t="shared" si="27"/>
        <v>448403.34375</v>
      </c>
      <c r="I30" s="63">
        <f t="shared" si="27"/>
        <v>605344.51406249998</v>
      </c>
      <c r="J30" s="63">
        <f t="shared" si="27"/>
        <v>817215.09398437501</v>
      </c>
      <c r="K30" s="63">
        <f t="shared" si="27"/>
        <v>1103240.3768789063</v>
      </c>
      <c r="L30" s="63">
        <f t="shared" si="27"/>
        <v>1489374.5087865235</v>
      </c>
      <c r="M30" s="63">
        <f t="shared" si="27"/>
        <v>2010655.5868618067</v>
      </c>
      <c r="N30" s="5"/>
    </row>
    <row r="31" spans="1:14" ht="15" customHeight="1" x14ac:dyDescent="0.45">
      <c r="A31" s="5"/>
      <c r="B31" s="138"/>
      <c r="C31" s="71" t="s">
        <v>1</v>
      </c>
      <c r="D31" s="64">
        <f>D30*21000000</f>
        <v>2835000000000</v>
      </c>
      <c r="E31" s="65">
        <f t="shared" ref="E31:M31" si="28">E30*21000000</f>
        <v>3827250000000</v>
      </c>
      <c r="F31" s="65">
        <f t="shared" si="28"/>
        <v>5166787500000</v>
      </c>
      <c r="G31" s="65">
        <f t="shared" si="28"/>
        <v>6975163125000</v>
      </c>
      <c r="H31" s="65">
        <f t="shared" si="28"/>
        <v>9416470218750</v>
      </c>
      <c r="I31" s="65">
        <f t="shared" si="28"/>
        <v>12712234795312.5</v>
      </c>
      <c r="J31" s="65">
        <f t="shared" si="28"/>
        <v>17161516973671.875</v>
      </c>
      <c r="K31" s="65">
        <f t="shared" si="28"/>
        <v>23168047914457.031</v>
      </c>
      <c r="L31" s="65">
        <f t="shared" si="28"/>
        <v>31276864684516.992</v>
      </c>
      <c r="M31" s="65">
        <f t="shared" si="28"/>
        <v>42223767324097.938</v>
      </c>
      <c r="N31" s="5"/>
    </row>
    <row r="32" spans="1:14" ht="15" customHeight="1" x14ac:dyDescent="0.45">
      <c r="A32" s="5"/>
      <c r="B32" s="138"/>
      <c r="C32" s="73" t="s">
        <v>14</v>
      </c>
      <c r="D32" s="66">
        <f>( ( D30 - $D$4 ) ) / D30</f>
        <v>0.25925925925925924</v>
      </c>
      <c r="E32" s="66">
        <f t="shared" ref="E32:M32" si="29">( ( E30 - $D$4 ) ) / E30</f>
        <v>0.45130315500685869</v>
      </c>
      <c r="F32" s="66">
        <f t="shared" si="29"/>
        <v>0.59355789259767311</v>
      </c>
      <c r="G32" s="66">
        <f t="shared" ref="G32" si="30">( ( G30 - $D$4 ) ) / G30</f>
        <v>0.69893177229457271</v>
      </c>
      <c r="H32" s="67">
        <f t="shared" si="29"/>
        <v>0.77698649799597974</v>
      </c>
      <c r="I32" s="66">
        <f t="shared" si="29"/>
        <v>0.83480481333035539</v>
      </c>
      <c r="J32" s="66">
        <f t="shared" si="29"/>
        <v>0.87763319505952253</v>
      </c>
      <c r="K32" s="66">
        <f t="shared" si="29"/>
        <v>0.90935792226631296</v>
      </c>
      <c r="L32" s="66">
        <f t="shared" si="29"/>
        <v>0.93285772019726887</v>
      </c>
      <c r="M32" s="66">
        <f t="shared" si="29"/>
        <v>0.95026497792390285</v>
      </c>
      <c r="N32" s="5"/>
    </row>
    <row r="33" spans="1:14" ht="15" customHeight="1" x14ac:dyDescent="0.45">
      <c r="A33" s="5"/>
      <c r="B33" s="138"/>
      <c r="C33" s="73" t="s">
        <v>13</v>
      </c>
      <c r="D33" s="66">
        <f>1-D32</f>
        <v>0.7407407407407407</v>
      </c>
      <c r="E33" s="66">
        <f t="shared" ref="E33:M33" si="31">1-E32</f>
        <v>0.54869684499314131</v>
      </c>
      <c r="F33" s="66">
        <f t="shared" si="31"/>
        <v>0.40644210740232689</v>
      </c>
      <c r="G33" s="66">
        <f t="shared" ref="G33" si="32">1-G32</f>
        <v>0.30106822770542729</v>
      </c>
      <c r="H33" s="67">
        <f t="shared" si="31"/>
        <v>0.22301350200402026</v>
      </c>
      <c r="I33" s="66">
        <f t="shared" si="31"/>
        <v>0.16519518666964461</v>
      </c>
      <c r="J33" s="66">
        <f t="shared" si="31"/>
        <v>0.12236680494047747</v>
      </c>
      <c r="K33" s="66">
        <f t="shared" si="31"/>
        <v>9.0642077733687043E-2</v>
      </c>
      <c r="L33" s="66">
        <f t="shared" si="31"/>
        <v>6.7142279802731131E-2</v>
      </c>
      <c r="M33" s="66">
        <f t="shared" si="31"/>
        <v>4.9735022076097146E-2</v>
      </c>
      <c r="N33" s="5"/>
    </row>
    <row r="34" spans="1:14" ht="15" customHeight="1" x14ac:dyDescent="0.45">
      <c r="A34" s="5"/>
      <c r="B34" s="138"/>
      <c r="C34" s="71" t="s">
        <v>15</v>
      </c>
      <c r="D34" s="68">
        <f>D32</f>
        <v>0.25925925925925924</v>
      </c>
      <c r="E34" s="69">
        <f>E32-D32</f>
        <v>0.19204389574759945</v>
      </c>
      <c r="F34" s="69">
        <f>F32-E32</f>
        <v>0.14225473759081442</v>
      </c>
      <c r="G34" s="69">
        <f t="shared" ref="G34" si="33">G32-F32</f>
        <v>0.1053738796968996</v>
      </c>
      <c r="H34" s="69">
        <f t="shared" ref="H34" si="34">H32-G32</f>
        <v>7.8054725701407035E-2</v>
      </c>
      <c r="I34" s="69">
        <f t="shared" ref="I34" si="35">I32-H32</f>
        <v>5.7818315334375647E-2</v>
      </c>
      <c r="J34" s="69">
        <f t="shared" ref="J34" si="36">J32-I32</f>
        <v>4.2828381729167142E-2</v>
      </c>
      <c r="K34" s="69">
        <f t="shared" ref="K34" si="37">K32-J32</f>
        <v>3.1724727206790426E-2</v>
      </c>
      <c r="L34" s="69">
        <f t="shared" ref="L34" si="38">L32-K32</f>
        <v>2.3499797930955912E-2</v>
      </c>
      <c r="M34" s="69">
        <f t="shared" ref="M34" si="39">M32-L32</f>
        <v>1.7407257726633985E-2</v>
      </c>
      <c r="N34" s="5"/>
    </row>
    <row r="35" spans="1:14" ht="15" customHeight="1" x14ac:dyDescent="0.45">
      <c r="A35" s="5"/>
      <c r="B35" s="141"/>
      <c r="C35" s="71" t="s">
        <v>31</v>
      </c>
      <c r="D35" s="68"/>
      <c r="E35" s="69"/>
      <c r="F35" s="69"/>
      <c r="G35" s="69"/>
      <c r="H35" s="69">
        <f>SUM(D34:H34)/5</f>
        <v>0.15539729959919596</v>
      </c>
      <c r="I35" s="70"/>
      <c r="J35" s="70"/>
      <c r="K35" s="70"/>
      <c r="L35" s="70"/>
      <c r="M35" s="69">
        <f>SUM(D34:M34)/10</f>
        <v>9.502649779239028E-2</v>
      </c>
      <c r="N35" s="5"/>
    </row>
    <row r="36" spans="1:14" ht="15" customHeight="1" x14ac:dyDescent="0.45">
      <c r="A36" s="5"/>
      <c r="B36" s="138">
        <v>0.4</v>
      </c>
      <c r="C36" s="71" t="s">
        <v>0</v>
      </c>
      <c r="D36" s="62">
        <f>($D$4 * $B36) + $D$4</f>
        <v>140000</v>
      </c>
      <c r="E36" s="63">
        <f>(D36 * $B36) + D36</f>
        <v>196000</v>
      </c>
      <c r="F36" s="63">
        <f t="shared" ref="F36:M36" si="40">(E36 * $B36) + E36</f>
        <v>274400</v>
      </c>
      <c r="G36" s="63">
        <f t="shared" si="40"/>
        <v>384160</v>
      </c>
      <c r="H36" s="63">
        <f t="shared" si="40"/>
        <v>537824</v>
      </c>
      <c r="I36" s="63">
        <f t="shared" si="40"/>
        <v>752953.6</v>
      </c>
      <c r="J36" s="63">
        <f t="shared" si="40"/>
        <v>1054135.04</v>
      </c>
      <c r="K36" s="63">
        <f t="shared" si="40"/>
        <v>1475789.0560000001</v>
      </c>
      <c r="L36" s="63">
        <f t="shared" si="40"/>
        <v>2066104.6784000001</v>
      </c>
      <c r="M36" s="63">
        <f t="shared" si="40"/>
        <v>2892546.5497600003</v>
      </c>
      <c r="N36" s="5"/>
    </row>
    <row r="37" spans="1:14" ht="15" customHeight="1" x14ac:dyDescent="0.45">
      <c r="A37" s="5"/>
      <c r="B37" s="138"/>
      <c r="C37" s="71" t="s">
        <v>1</v>
      </c>
      <c r="D37" s="64">
        <f>D36*21000000</f>
        <v>2940000000000</v>
      </c>
      <c r="E37" s="65">
        <f t="shared" ref="E37:M37" si="41">E36*21000000</f>
        <v>4116000000000</v>
      </c>
      <c r="F37" s="65">
        <f t="shared" si="41"/>
        <v>5762400000000</v>
      </c>
      <c r="G37" s="65">
        <f t="shared" si="41"/>
        <v>8067360000000</v>
      </c>
      <c r="H37" s="65">
        <f t="shared" si="41"/>
        <v>11294304000000</v>
      </c>
      <c r="I37" s="65">
        <f t="shared" si="41"/>
        <v>15812025600000</v>
      </c>
      <c r="J37" s="65">
        <f t="shared" si="41"/>
        <v>22136835840000</v>
      </c>
      <c r="K37" s="65">
        <f t="shared" si="41"/>
        <v>30991570176000.004</v>
      </c>
      <c r="L37" s="65">
        <f t="shared" si="41"/>
        <v>43388198246400</v>
      </c>
      <c r="M37" s="65">
        <f t="shared" si="41"/>
        <v>60743477544960.008</v>
      </c>
      <c r="N37" s="5"/>
    </row>
    <row r="38" spans="1:14" ht="15" customHeight="1" x14ac:dyDescent="0.45">
      <c r="A38" s="5"/>
      <c r="B38" s="138"/>
      <c r="C38" s="73" t="s">
        <v>14</v>
      </c>
      <c r="D38" s="66">
        <f>( ( D36 - $D$4 ) ) / D36</f>
        <v>0.2857142857142857</v>
      </c>
      <c r="E38" s="66">
        <f t="shared" ref="E38:M38" si="42">( ( E36 - $D$4 ) ) / E36</f>
        <v>0.48979591836734693</v>
      </c>
      <c r="F38" s="66">
        <f t="shared" ref="F38" si="43">( ( F36 - $D$4 ) ) / F36</f>
        <v>0.63556851311953355</v>
      </c>
      <c r="G38" s="66">
        <f t="shared" si="42"/>
        <v>0.73969179508538108</v>
      </c>
      <c r="H38" s="67">
        <f t="shared" si="42"/>
        <v>0.81406556791812934</v>
      </c>
      <c r="I38" s="66">
        <f t="shared" si="42"/>
        <v>0.86718969137009239</v>
      </c>
      <c r="J38" s="66">
        <f t="shared" si="42"/>
        <v>0.90513549383578029</v>
      </c>
      <c r="K38" s="66">
        <f t="shared" si="42"/>
        <v>0.93223963845412883</v>
      </c>
      <c r="L38" s="66">
        <f t="shared" si="42"/>
        <v>0.95159974175294915</v>
      </c>
      <c r="M38" s="66">
        <f t="shared" si="42"/>
        <v>0.96542838696639222</v>
      </c>
      <c r="N38" s="5"/>
    </row>
    <row r="39" spans="1:14" ht="15" customHeight="1" x14ac:dyDescent="0.45">
      <c r="A39" s="5"/>
      <c r="B39" s="138"/>
      <c r="C39" s="73" t="s">
        <v>13</v>
      </c>
      <c r="D39" s="66">
        <f>1-D38</f>
        <v>0.7142857142857143</v>
      </c>
      <c r="E39" s="66">
        <f t="shared" ref="E39:M39" si="44">1-E38</f>
        <v>0.51020408163265307</v>
      </c>
      <c r="F39" s="66">
        <f t="shared" ref="F39" si="45">1-F38</f>
        <v>0.36443148688046645</v>
      </c>
      <c r="G39" s="66">
        <f t="shared" si="44"/>
        <v>0.26030820491461892</v>
      </c>
      <c r="H39" s="67">
        <f t="shared" si="44"/>
        <v>0.18593443208187066</v>
      </c>
      <c r="I39" s="66">
        <f t="shared" si="44"/>
        <v>0.13281030862990761</v>
      </c>
      <c r="J39" s="66">
        <f t="shared" si="44"/>
        <v>9.4864506164219708E-2</v>
      </c>
      <c r="K39" s="66">
        <f t="shared" si="44"/>
        <v>6.7760361545871173E-2</v>
      </c>
      <c r="L39" s="66">
        <f t="shared" si="44"/>
        <v>4.8400258247050854E-2</v>
      </c>
      <c r="M39" s="66">
        <f t="shared" si="44"/>
        <v>3.4571613033607784E-2</v>
      </c>
      <c r="N39" s="5"/>
    </row>
    <row r="40" spans="1:14" ht="15" customHeight="1" x14ac:dyDescent="0.45">
      <c r="A40" s="5"/>
      <c r="B40" s="138"/>
      <c r="C40" s="71" t="s">
        <v>15</v>
      </c>
      <c r="D40" s="68">
        <f>D38</f>
        <v>0.2857142857142857</v>
      </c>
      <c r="E40" s="69">
        <f>E38-D38</f>
        <v>0.20408163265306123</v>
      </c>
      <c r="F40" s="69">
        <f>F38-E38</f>
        <v>0.14577259475218662</v>
      </c>
      <c r="G40" s="69">
        <f t="shared" ref="G40" si="46">G38-F38</f>
        <v>0.10412328196584753</v>
      </c>
      <c r="H40" s="69">
        <f t="shared" ref="H40" si="47">H38-G38</f>
        <v>7.4373772832748264E-2</v>
      </c>
      <c r="I40" s="69">
        <f t="shared" ref="I40" si="48">I38-H38</f>
        <v>5.3124123451963046E-2</v>
      </c>
      <c r="J40" s="69">
        <f t="shared" ref="J40" si="49">J38-I38</f>
        <v>3.7945802465687906E-2</v>
      </c>
      <c r="K40" s="69">
        <f t="shared" ref="K40" si="50">K38-J38</f>
        <v>2.7104144618348536E-2</v>
      </c>
      <c r="L40" s="69">
        <f t="shared" ref="L40" si="51">L38-K38</f>
        <v>1.9360103298820319E-2</v>
      </c>
      <c r="M40" s="69">
        <f t="shared" ref="M40" si="52">M38-L38</f>
        <v>1.3828645213443069E-2</v>
      </c>
      <c r="N40" s="5"/>
    </row>
    <row r="41" spans="1:14" ht="15" customHeight="1" x14ac:dyDescent="0.45">
      <c r="A41" s="5"/>
      <c r="B41" s="139"/>
      <c r="C41" s="71" t="s">
        <v>31</v>
      </c>
      <c r="D41" s="68"/>
      <c r="E41" s="69"/>
      <c r="F41" s="69"/>
      <c r="G41" s="69"/>
      <c r="H41" s="69">
        <f>SUM(D40:H40)/5</f>
        <v>0.16281311358362588</v>
      </c>
      <c r="I41" s="70"/>
      <c r="J41" s="70"/>
      <c r="K41" s="70"/>
      <c r="L41" s="70"/>
      <c r="M41" s="69">
        <f>SUM(D40:M40)/10</f>
        <v>9.6542838696639224E-2</v>
      </c>
      <c r="N41" s="5"/>
    </row>
    <row r="42" spans="1:14" ht="15" customHeight="1" x14ac:dyDescent="0.4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9"/>
    </row>
  </sheetData>
  <mergeCells count="18">
    <mergeCell ref="B2:B8"/>
    <mergeCell ref="B36:B41"/>
    <mergeCell ref="B18:B23"/>
    <mergeCell ref="B24:B29"/>
    <mergeCell ref="B30:B35"/>
    <mergeCell ref="B12:B17"/>
    <mergeCell ref="J10:J11"/>
    <mergeCell ref="K10:K11"/>
    <mergeCell ref="L10:L11"/>
    <mergeCell ref="M10:M11"/>
    <mergeCell ref="C2:D3"/>
    <mergeCell ref="F2:I3"/>
    <mergeCell ref="H10:H11"/>
    <mergeCell ref="I10:I11"/>
    <mergeCell ref="D10:D11"/>
    <mergeCell ref="E10:E11"/>
    <mergeCell ref="F10:F11"/>
    <mergeCell ref="G10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 Estimate Calculator</vt:lpstr>
      <vt:lpstr>10 Year Burndown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Hutchinson</dc:creator>
  <cp:lastModifiedBy>Kyle Hutchinson</cp:lastModifiedBy>
  <dcterms:created xsi:type="dcterms:W3CDTF">2025-08-18T00:15:32Z</dcterms:created>
  <dcterms:modified xsi:type="dcterms:W3CDTF">2025-10-28T15:36:15Z</dcterms:modified>
</cp:coreProperties>
</file>