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8627" documentId="13_ncr:1_{AE93A452-22DF-478B-8AAE-1A3A6016AB56}" xr6:coauthVersionLast="47" xr6:coauthVersionMax="47" xr10:uidLastSave="{4386F5C0-B246-4BCE-BBC7-1F6B95BE911D}"/>
  <bookViews>
    <workbookView xWindow="-98" yWindow="-98" windowWidth="28996" windowHeight="15675" xr2:uid="{10396A79-A4B2-467C-A467-ECE59C587EB2}"/>
  </bookViews>
  <sheets>
    <sheet name="Yield Estimate Calculator" sheetId="18" r:id="rId1"/>
    <sheet name="Bitcoin Mortgage Services" sheetId="19" r:id="rId2"/>
    <sheet name="10 Year Burndown Summary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9" l="1"/>
  <c r="E124" i="18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11" i="19"/>
  <c r="G6" i="19"/>
  <c r="K6" i="19" s="1"/>
  <c r="G7" i="19"/>
  <c r="G8" i="19"/>
  <c r="H8" i="19" s="1"/>
  <c r="G9" i="19"/>
  <c r="K9" i="19" s="1"/>
  <c r="G10" i="19"/>
  <c r="G5" i="19"/>
  <c r="I6" i="19"/>
  <c r="J6" i="19" s="1"/>
  <c r="B7" i="19"/>
  <c r="I12" i="19"/>
  <c r="J12" i="19" s="1"/>
  <c r="I13" i="19"/>
  <c r="J13" i="19" s="1"/>
  <c r="I14" i="19"/>
  <c r="J14" i="19" s="1"/>
  <c r="I15" i="19"/>
  <c r="J15" i="19" s="1"/>
  <c r="I16" i="19"/>
  <c r="J16" i="19" s="1"/>
  <c r="I17" i="19"/>
  <c r="J17" i="19" s="1"/>
  <c r="I18" i="19"/>
  <c r="J18" i="19" s="1"/>
  <c r="I19" i="19"/>
  <c r="J19" i="19" s="1"/>
  <c r="I20" i="19"/>
  <c r="J20" i="19" s="1"/>
  <c r="I21" i="19"/>
  <c r="J21" i="19" s="1"/>
  <c r="I22" i="19"/>
  <c r="J22" i="19" s="1"/>
  <c r="I23" i="19"/>
  <c r="J23" i="19" s="1"/>
  <c r="I24" i="19"/>
  <c r="J24" i="19" s="1"/>
  <c r="I25" i="19"/>
  <c r="J25" i="19" s="1"/>
  <c r="I26" i="19"/>
  <c r="J26" i="19" s="1"/>
  <c r="I27" i="19"/>
  <c r="J27" i="19" s="1"/>
  <c r="I28" i="19"/>
  <c r="J28" i="19" s="1"/>
  <c r="I29" i="19"/>
  <c r="J29" i="19" s="1"/>
  <c r="I30" i="19"/>
  <c r="J30" i="19" s="1"/>
  <c r="I31" i="19"/>
  <c r="J31" i="19" s="1"/>
  <c r="I32" i="19"/>
  <c r="J32" i="19" s="1"/>
  <c r="I33" i="19"/>
  <c r="J33" i="19" s="1"/>
  <c r="I34" i="19"/>
  <c r="J34" i="19" s="1"/>
  <c r="I35" i="19"/>
  <c r="J35" i="19" s="1"/>
  <c r="I36" i="19"/>
  <c r="J36" i="19" s="1"/>
  <c r="I37" i="19"/>
  <c r="J37" i="19" s="1"/>
  <c r="I38" i="19"/>
  <c r="J38" i="19" s="1"/>
  <c r="I39" i="19"/>
  <c r="J39" i="19" s="1"/>
  <c r="I40" i="19"/>
  <c r="J40" i="19" s="1"/>
  <c r="I41" i="19"/>
  <c r="J41" i="19" s="1"/>
  <c r="I42" i="19"/>
  <c r="J42" i="19" s="1"/>
  <c r="I11" i="19"/>
  <c r="J11" i="19" s="1"/>
  <c r="I7" i="19"/>
  <c r="J7" i="19" s="1"/>
  <c r="I8" i="19"/>
  <c r="J8" i="19" s="1"/>
  <c r="I9" i="19"/>
  <c r="J9" i="19" s="1"/>
  <c r="I10" i="19"/>
  <c r="J10" i="19" s="1"/>
  <c r="I5" i="19"/>
  <c r="J5" i="19" s="1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11" i="19"/>
  <c r="B8" i="19"/>
  <c r="B9" i="19"/>
  <c r="B10" i="19"/>
  <c r="E26" i="18"/>
  <c r="F26" i="18"/>
  <c r="G26" i="18"/>
  <c r="H26" i="18"/>
  <c r="I26" i="18"/>
  <c r="J26" i="18"/>
  <c r="K26" i="18"/>
  <c r="L26" i="18"/>
  <c r="M26" i="18"/>
  <c r="N26" i="18"/>
  <c r="N124" i="18"/>
  <c r="M124" i="18"/>
  <c r="L124" i="18"/>
  <c r="K124" i="18"/>
  <c r="J124" i="18"/>
  <c r="I124" i="18"/>
  <c r="H124" i="18"/>
  <c r="G124" i="18"/>
  <c r="F124" i="18"/>
  <c r="D91" i="18"/>
  <c r="D90" i="18"/>
  <c r="D46" i="18"/>
  <c r="D45" i="18"/>
  <c r="D30" i="18"/>
  <c r="D29" i="18"/>
  <c r="F36" i="18" s="1"/>
  <c r="E16" i="18"/>
  <c r="E18" i="18" s="1"/>
  <c r="K11" i="18"/>
  <c r="K10" i="18"/>
  <c r="E10" i="18"/>
  <c r="K9" i="18"/>
  <c r="K8" i="18"/>
  <c r="K7" i="18"/>
  <c r="K6" i="18"/>
  <c r="K5" i="18"/>
  <c r="K4" i="18"/>
  <c r="I8" i="13"/>
  <c r="D36" i="13"/>
  <c r="E36" i="13" s="1"/>
  <c r="D30" i="13"/>
  <c r="D32" i="13" s="1"/>
  <c r="D24" i="13"/>
  <c r="E24" i="13" s="1"/>
  <c r="F24" i="13" s="1"/>
  <c r="G24" i="13" s="1"/>
  <c r="H24" i="13" s="1"/>
  <c r="I24" i="13" s="1"/>
  <c r="J24" i="13" s="1"/>
  <c r="K24" i="13" s="1"/>
  <c r="L24" i="13" s="1"/>
  <c r="M24" i="13" s="1"/>
  <c r="M26" i="13" s="1"/>
  <c r="D18" i="13"/>
  <c r="D20" i="13" s="1"/>
  <c r="D12" i="13"/>
  <c r="D14" i="13" s="1"/>
  <c r="E30" i="13"/>
  <c r="F30" i="13" s="1"/>
  <c r="G30" i="13" s="1"/>
  <c r="H30" i="13" s="1"/>
  <c r="I30" i="13" s="1"/>
  <c r="J30" i="13" s="1"/>
  <c r="K30" i="13" s="1"/>
  <c r="L30" i="13" s="1"/>
  <c r="M30" i="13" s="1"/>
  <c r="M32" i="13" s="1"/>
  <c r="M9" i="19" l="1"/>
  <c r="H6" i="19"/>
  <c r="L6" i="19" s="1"/>
  <c r="M6" i="19" s="1"/>
  <c r="E119" i="18"/>
  <c r="K8" i="19"/>
  <c r="M8" i="19" s="1"/>
  <c r="K11" i="19"/>
  <c r="K7" i="19"/>
  <c r="H7" i="19"/>
  <c r="L7" i="19" s="1"/>
  <c r="H10" i="19"/>
  <c r="L10" i="19" s="1"/>
  <c r="H5" i="19"/>
  <c r="L5" i="19" s="1"/>
  <c r="H11" i="19"/>
  <c r="L11" i="19" s="1"/>
  <c r="K5" i="19"/>
  <c r="H9" i="19"/>
  <c r="L9" i="19" s="1"/>
  <c r="L105" i="18"/>
  <c r="H105" i="18"/>
  <c r="E60" i="18"/>
  <c r="M60" i="18"/>
  <c r="I60" i="18"/>
  <c r="I6" i="18" s="1"/>
  <c r="E105" i="18"/>
  <c r="K105" i="18"/>
  <c r="G105" i="18"/>
  <c r="G107" i="18" s="1"/>
  <c r="N60" i="18"/>
  <c r="N62" i="18" s="1"/>
  <c r="J60" i="18"/>
  <c r="F60" i="18"/>
  <c r="H60" i="18"/>
  <c r="G60" i="18"/>
  <c r="L60" i="18"/>
  <c r="K60" i="18"/>
  <c r="N105" i="18"/>
  <c r="J105" i="18"/>
  <c r="F105" i="18"/>
  <c r="M105" i="18"/>
  <c r="I105" i="18"/>
  <c r="M36" i="18"/>
  <c r="N36" i="18"/>
  <c r="E36" i="18"/>
  <c r="E31" i="18" s="1"/>
  <c r="E19" i="18"/>
  <c r="E20" i="18"/>
  <c r="E22" i="18" s="1"/>
  <c r="E27" i="18"/>
  <c r="E17" i="18"/>
  <c r="L36" i="18"/>
  <c r="H36" i="18"/>
  <c r="K36" i="18"/>
  <c r="G36" i="18"/>
  <c r="I36" i="18"/>
  <c r="F16" i="18"/>
  <c r="F31" i="18" s="1"/>
  <c r="J36" i="18"/>
  <c r="J32" i="13"/>
  <c r="K32" i="13"/>
  <c r="I26" i="13"/>
  <c r="E18" i="13"/>
  <c r="F18" i="13" s="1"/>
  <c r="G18" i="13" s="1"/>
  <c r="J26" i="13"/>
  <c r="E26" i="13"/>
  <c r="I32" i="13"/>
  <c r="I33" i="13" s="1"/>
  <c r="F26" i="13"/>
  <c r="H32" i="13"/>
  <c r="H33" i="13" s="1"/>
  <c r="F36" i="13"/>
  <c r="E38" i="13"/>
  <c r="D38" i="13"/>
  <c r="G26" i="13"/>
  <c r="K26" i="13"/>
  <c r="E32" i="13"/>
  <c r="L32" i="13"/>
  <c r="G32" i="13"/>
  <c r="G33" i="13" s="1"/>
  <c r="D26" i="13"/>
  <c r="H26" i="13"/>
  <c r="L26" i="13"/>
  <c r="F32" i="13"/>
  <c r="D13" i="13"/>
  <c r="E12" i="13"/>
  <c r="M7" i="19" l="1"/>
  <c r="M5" i="19"/>
  <c r="M11" i="19"/>
  <c r="E33" i="18"/>
  <c r="K14" i="19"/>
  <c r="K10" i="19"/>
  <c r="M10" i="19" s="1"/>
  <c r="K15" i="19"/>
  <c r="M15" i="19" s="1"/>
  <c r="K13" i="19"/>
  <c r="M13" i="19" s="1"/>
  <c r="H13" i="19"/>
  <c r="L13" i="19" s="1"/>
  <c r="H15" i="19"/>
  <c r="L15" i="19" s="1"/>
  <c r="H14" i="19"/>
  <c r="L14" i="19" s="1"/>
  <c r="H12" i="19"/>
  <c r="L12" i="19" s="1"/>
  <c r="K12" i="19"/>
  <c r="G165" i="18"/>
  <c r="G162" i="18"/>
  <c r="G171" i="18"/>
  <c r="G168" i="18"/>
  <c r="E24" i="18"/>
  <c r="E47" i="18" s="1"/>
  <c r="E74" i="18" s="1"/>
  <c r="J107" i="18"/>
  <c r="N107" i="18"/>
  <c r="I10" i="18"/>
  <c r="I107" i="18"/>
  <c r="F107" i="18"/>
  <c r="K107" i="18"/>
  <c r="I62" i="18"/>
  <c r="E121" i="18"/>
  <c r="L62" i="18"/>
  <c r="G62" i="18"/>
  <c r="M107" i="18"/>
  <c r="E64" i="18"/>
  <c r="E62" i="18"/>
  <c r="E66" i="18" s="1"/>
  <c r="H62" i="18"/>
  <c r="F64" i="18"/>
  <c r="F62" i="18"/>
  <c r="F66" i="18" s="1"/>
  <c r="J62" i="18"/>
  <c r="F27" i="18"/>
  <c r="E106" i="18"/>
  <c r="E61" i="18"/>
  <c r="L107" i="18"/>
  <c r="K62" i="18"/>
  <c r="E122" i="18"/>
  <c r="E109" i="18"/>
  <c r="E107" i="18"/>
  <c r="H107" i="18"/>
  <c r="F17" i="18"/>
  <c r="G16" i="18"/>
  <c r="G111" i="18" s="1"/>
  <c r="F119" i="18"/>
  <c r="F18" i="18"/>
  <c r="F109" i="18"/>
  <c r="M62" i="18"/>
  <c r="E20" i="13"/>
  <c r="F20" i="13"/>
  <c r="H18" i="13"/>
  <c r="G20" i="13"/>
  <c r="G36" i="13"/>
  <c r="F38" i="13"/>
  <c r="F39" i="13" s="1"/>
  <c r="F12" i="13"/>
  <c r="E14" i="13"/>
  <c r="M12" i="19" l="1"/>
  <c r="M14" i="19"/>
  <c r="H18" i="19"/>
  <c r="L18" i="19" s="1"/>
  <c r="K18" i="19"/>
  <c r="M18" i="19" s="1"/>
  <c r="H19" i="19"/>
  <c r="L19" i="19" s="1"/>
  <c r="K19" i="19"/>
  <c r="H16" i="19"/>
  <c r="L16" i="19" s="1"/>
  <c r="K16" i="19"/>
  <c r="M16" i="19" s="1"/>
  <c r="H17" i="19"/>
  <c r="L17" i="19" s="1"/>
  <c r="K17" i="19"/>
  <c r="E49" i="18"/>
  <c r="E92" i="18"/>
  <c r="E97" i="18" s="1"/>
  <c r="M165" i="18"/>
  <c r="M162" i="18"/>
  <c r="M171" i="18"/>
  <c r="M168" i="18"/>
  <c r="H171" i="18"/>
  <c r="H168" i="18"/>
  <c r="H165" i="18"/>
  <c r="H162" i="18"/>
  <c r="K171" i="18"/>
  <c r="K168" i="18"/>
  <c r="K165" i="18"/>
  <c r="K162" i="18"/>
  <c r="N171" i="18"/>
  <c r="N168" i="18"/>
  <c r="N165" i="18"/>
  <c r="N162" i="18"/>
  <c r="E111" i="18"/>
  <c r="E113" i="18" s="1"/>
  <c r="E165" i="18"/>
  <c r="E171" i="18"/>
  <c r="E168" i="18"/>
  <c r="E162" i="18"/>
  <c r="L171" i="18"/>
  <c r="L168" i="18"/>
  <c r="L162" i="18"/>
  <c r="L165" i="18"/>
  <c r="F111" i="18"/>
  <c r="F168" i="18"/>
  <c r="F165" i="18"/>
  <c r="F162" i="18"/>
  <c r="F171" i="18"/>
  <c r="J171" i="18"/>
  <c r="J162" i="18"/>
  <c r="J168" i="18"/>
  <c r="J165" i="18"/>
  <c r="I165" i="18"/>
  <c r="I162" i="18"/>
  <c r="I171" i="18"/>
  <c r="I168" i="18"/>
  <c r="E125" i="18"/>
  <c r="E126" i="18" s="1"/>
  <c r="E183" i="18"/>
  <c r="E177" i="18"/>
  <c r="E180" i="18"/>
  <c r="E174" i="18"/>
  <c r="G31" i="18"/>
  <c r="G66" i="18"/>
  <c r="E123" i="18"/>
  <c r="E127" i="18"/>
  <c r="E63" i="18"/>
  <c r="E73" i="18" s="1"/>
  <c r="E71" i="18" s="1"/>
  <c r="E69" i="18"/>
  <c r="F19" i="18"/>
  <c r="F20" i="18"/>
  <c r="E114" i="18"/>
  <c r="E108" i="18"/>
  <c r="F34" i="18"/>
  <c r="F37" i="18" s="1"/>
  <c r="F122" i="18"/>
  <c r="F106" i="18"/>
  <c r="F61" i="18"/>
  <c r="G27" i="18"/>
  <c r="E68" i="18"/>
  <c r="F68" i="18" s="1"/>
  <c r="H16" i="18"/>
  <c r="H31" i="18" s="1"/>
  <c r="G18" i="18"/>
  <c r="G119" i="18"/>
  <c r="G17" i="18"/>
  <c r="G109" i="18"/>
  <c r="G64" i="18"/>
  <c r="I18" i="13"/>
  <c r="H20" i="13"/>
  <c r="H36" i="13"/>
  <c r="G38" i="13"/>
  <c r="G39" i="13" s="1"/>
  <c r="G12" i="13"/>
  <c r="F14" i="13"/>
  <c r="M17" i="19" l="1"/>
  <c r="M19" i="19"/>
  <c r="F22" i="18"/>
  <c r="F24" i="18" s="1"/>
  <c r="F33" i="18"/>
  <c r="H22" i="19"/>
  <c r="L22" i="19" s="1"/>
  <c r="K22" i="19"/>
  <c r="M22" i="19" s="1"/>
  <c r="K21" i="19"/>
  <c r="H21" i="19"/>
  <c r="L21" i="19" s="1"/>
  <c r="H20" i="19"/>
  <c r="L20" i="19" s="1"/>
  <c r="K20" i="19"/>
  <c r="M20" i="19" s="1"/>
  <c r="K23" i="19"/>
  <c r="H23" i="19"/>
  <c r="L23" i="19" s="1"/>
  <c r="E132" i="18"/>
  <c r="E135" i="18" s="1"/>
  <c r="E139" i="18" s="1"/>
  <c r="E95" i="18"/>
  <c r="E150" i="18" s="1"/>
  <c r="E94" i="18"/>
  <c r="I172" i="18"/>
  <c r="N166" i="18"/>
  <c r="N163" i="18"/>
  <c r="I163" i="18"/>
  <c r="E118" i="18"/>
  <c r="E116" i="18" s="1"/>
  <c r="E167" i="18"/>
  <c r="E164" i="18"/>
  <c r="E173" i="18"/>
  <c r="E170" i="18"/>
  <c r="I166" i="18"/>
  <c r="F113" i="18"/>
  <c r="G113" i="18" s="1"/>
  <c r="N169" i="18"/>
  <c r="I169" i="18"/>
  <c r="N172" i="18"/>
  <c r="F125" i="18"/>
  <c r="F126" i="18" s="1"/>
  <c r="F183" i="18"/>
  <c r="F180" i="18"/>
  <c r="F177" i="18"/>
  <c r="F174" i="18"/>
  <c r="E131" i="18"/>
  <c r="E129" i="18" s="1"/>
  <c r="E185" i="18"/>
  <c r="E182" i="18"/>
  <c r="E179" i="18"/>
  <c r="E176" i="18"/>
  <c r="G34" i="18"/>
  <c r="G37" i="18" s="1"/>
  <c r="E137" i="18"/>
  <c r="G68" i="18"/>
  <c r="F121" i="18"/>
  <c r="H18" i="18"/>
  <c r="H17" i="18"/>
  <c r="I16" i="18"/>
  <c r="I31" i="18" s="1"/>
  <c r="H119" i="18"/>
  <c r="H64" i="18"/>
  <c r="H109" i="18"/>
  <c r="H66" i="18"/>
  <c r="H111" i="18"/>
  <c r="G106" i="18"/>
  <c r="H27" i="18"/>
  <c r="G61" i="18"/>
  <c r="G122" i="18"/>
  <c r="F63" i="18"/>
  <c r="F73" i="18" s="1"/>
  <c r="F71" i="18" s="1"/>
  <c r="F69" i="18"/>
  <c r="G20" i="18"/>
  <c r="G19" i="18"/>
  <c r="F114" i="18"/>
  <c r="F108" i="18"/>
  <c r="J18" i="13"/>
  <c r="I20" i="13"/>
  <c r="I36" i="13"/>
  <c r="H38" i="13"/>
  <c r="H39" i="13" s="1"/>
  <c r="H12" i="13"/>
  <c r="G14" i="13"/>
  <c r="D31" i="13"/>
  <c r="E37" i="13"/>
  <c r="D37" i="13"/>
  <c r="E25" i="13"/>
  <c r="D25" i="13"/>
  <c r="E19" i="13"/>
  <c r="D19" i="13"/>
  <c r="D16" i="13"/>
  <c r="M23" i="19" l="1"/>
  <c r="M21" i="19"/>
  <c r="F47" i="18"/>
  <c r="F50" i="18" s="1"/>
  <c r="F53" i="18" s="1"/>
  <c r="F92" i="18"/>
  <c r="F94" i="18" s="1"/>
  <c r="F134" i="18" s="1"/>
  <c r="F136" i="18" s="1"/>
  <c r="F146" i="18" s="1"/>
  <c r="G22" i="18"/>
  <c r="G24" i="18" s="1"/>
  <c r="H27" i="19"/>
  <c r="L27" i="19" s="1"/>
  <c r="K27" i="19"/>
  <c r="H26" i="19"/>
  <c r="L26" i="19" s="1"/>
  <c r="K26" i="19"/>
  <c r="H24" i="19"/>
  <c r="L24" i="19" s="1"/>
  <c r="K24" i="19"/>
  <c r="K25" i="19"/>
  <c r="H25" i="19"/>
  <c r="L25" i="19" s="1"/>
  <c r="E96" i="18"/>
  <c r="E100" i="18"/>
  <c r="E142" i="18" s="1"/>
  <c r="E134" i="18"/>
  <c r="E136" i="18" s="1"/>
  <c r="E146" i="18" s="1"/>
  <c r="E144" i="18" s="1"/>
  <c r="F96" i="18"/>
  <c r="F152" i="18" s="1"/>
  <c r="H113" i="18"/>
  <c r="F118" i="18"/>
  <c r="F116" i="18" s="1"/>
  <c r="F173" i="18"/>
  <c r="F170" i="18"/>
  <c r="F164" i="18"/>
  <c r="F167" i="18"/>
  <c r="E156" i="18"/>
  <c r="E192" i="18" s="1"/>
  <c r="E159" i="18"/>
  <c r="E195" i="18" s="1"/>
  <c r="E153" i="18"/>
  <c r="E189" i="18" s="1"/>
  <c r="E186" i="18"/>
  <c r="E98" i="18"/>
  <c r="E99" i="18" s="1"/>
  <c r="G125" i="18"/>
  <c r="G126" i="18" s="1"/>
  <c r="G183" i="18"/>
  <c r="G180" i="18"/>
  <c r="G177" i="18"/>
  <c r="G174" i="18"/>
  <c r="H68" i="18"/>
  <c r="F35" i="18"/>
  <c r="F43" i="18" s="1"/>
  <c r="F123" i="18"/>
  <c r="F127" i="18"/>
  <c r="F52" i="18"/>
  <c r="F79" i="18" s="1"/>
  <c r="H122" i="18"/>
  <c r="F132" i="18"/>
  <c r="F97" i="18"/>
  <c r="F137" i="18" s="1"/>
  <c r="E141" i="18"/>
  <c r="G69" i="18"/>
  <c r="G63" i="18"/>
  <c r="G73" i="18" s="1"/>
  <c r="G71" i="18" s="1"/>
  <c r="I119" i="18"/>
  <c r="I17" i="18"/>
  <c r="I18" i="18"/>
  <c r="J16" i="18"/>
  <c r="J31" i="18" s="1"/>
  <c r="I64" i="18"/>
  <c r="I65" i="18" s="1"/>
  <c r="I109" i="18"/>
  <c r="I110" i="18" s="1"/>
  <c r="I111" i="18"/>
  <c r="I112" i="18" s="1"/>
  <c r="I34" i="18"/>
  <c r="I37" i="18" s="1"/>
  <c r="I66" i="18"/>
  <c r="G121" i="18"/>
  <c r="I27" i="18"/>
  <c r="H106" i="18"/>
  <c r="H61" i="18"/>
  <c r="H34" i="18"/>
  <c r="H37" i="18" s="1"/>
  <c r="G33" i="18"/>
  <c r="G114" i="18"/>
  <c r="G108" i="18"/>
  <c r="H20" i="18"/>
  <c r="H19" i="18"/>
  <c r="K18" i="13"/>
  <c r="J20" i="13"/>
  <c r="J36" i="13"/>
  <c r="I38" i="13"/>
  <c r="I39" i="13" s="1"/>
  <c r="I12" i="13"/>
  <c r="H14" i="13"/>
  <c r="D15" i="13"/>
  <c r="E39" i="13"/>
  <c r="E40" i="13"/>
  <c r="F37" i="13"/>
  <c r="D40" i="13"/>
  <c r="D39" i="13"/>
  <c r="E31" i="13"/>
  <c r="D33" i="13"/>
  <c r="D34" i="13"/>
  <c r="D28" i="13"/>
  <c r="D27" i="13"/>
  <c r="E27" i="13"/>
  <c r="E28" i="13"/>
  <c r="F25" i="13"/>
  <c r="D22" i="13"/>
  <c r="D21" i="13"/>
  <c r="F19" i="13"/>
  <c r="E21" i="13"/>
  <c r="E22" i="13"/>
  <c r="E13" i="13"/>
  <c r="M25" i="19" l="1"/>
  <c r="M24" i="19"/>
  <c r="M27" i="19"/>
  <c r="M26" i="19"/>
  <c r="F74" i="18"/>
  <c r="F77" i="18" s="1"/>
  <c r="F81" i="18" s="1"/>
  <c r="F49" i="18"/>
  <c r="F76" i="18" s="1"/>
  <c r="F78" i="18" s="1"/>
  <c r="F88" i="18" s="1"/>
  <c r="G47" i="18"/>
  <c r="G50" i="18" s="1"/>
  <c r="G53" i="18" s="1"/>
  <c r="G92" i="18"/>
  <c r="G94" i="18" s="1"/>
  <c r="G96" i="18" s="1"/>
  <c r="G152" i="18" s="1"/>
  <c r="F95" i="18"/>
  <c r="F98" i="18" s="1"/>
  <c r="F99" i="18" s="1"/>
  <c r="H22" i="18"/>
  <c r="H24" i="18" s="1"/>
  <c r="H47" i="18" s="1"/>
  <c r="K29" i="19"/>
  <c r="H29" i="19"/>
  <c r="L29" i="19" s="1"/>
  <c r="H31" i="19"/>
  <c r="L31" i="19" s="1"/>
  <c r="K31" i="19"/>
  <c r="K28" i="19"/>
  <c r="H28" i="19"/>
  <c r="L28" i="19" s="1"/>
  <c r="H30" i="19"/>
  <c r="L30" i="19" s="1"/>
  <c r="K30" i="19"/>
  <c r="F158" i="18"/>
  <c r="F155" i="18"/>
  <c r="E152" i="18"/>
  <c r="E188" i="18" s="1"/>
  <c r="E104" i="18"/>
  <c r="E102" i="18" s="1"/>
  <c r="E158" i="18"/>
  <c r="E194" i="18" s="1"/>
  <c r="E161" i="18"/>
  <c r="E197" i="18" s="1"/>
  <c r="E155" i="18"/>
  <c r="E191" i="18" s="1"/>
  <c r="F104" i="18"/>
  <c r="F161" i="18"/>
  <c r="F144" i="18"/>
  <c r="F100" i="18"/>
  <c r="I113" i="18"/>
  <c r="G118" i="18"/>
  <c r="G116" i="18" s="1"/>
  <c r="G167" i="18"/>
  <c r="G170" i="18"/>
  <c r="G164" i="18"/>
  <c r="G173" i="18"/>
  <c r="H125" i="18"/>
  <c r="H126" i="18" s="1"/>
  <c r="H183" i="18"/>
  <c r="H180" i="18"/>
  <c r="H177" i="18"/>
  <c r="H174" i="18"/>
  <c r="F131" i="18"/>
  <c r="F129" i="18" s="1"/>
  <c r="F182" i="18"/>
  <c r="F179" i="18"/>
  <c r="F176" i="18"/>
  <c r="F188" i="18" s="1"/>
  <c r="F185" i="18"/>
  <c r="I68" i="18"/>
  <c r="H121" i="18"/>
  <c r="H33" i="18"/>
  <c r="H35" i="18" s="1"/>
  <c r="H43" i="18" s="1"/>
  <c r="H69" i="18"/>
  <c r="H63" i="18"/>
  <c r="H73" i="18" s="1"/>
  <c r="H71" i="18" s="1"/>
  <c r="I122" i="18"/>
  <c r="G52" i="18"/>
  <c r="G79" i="18" s="1"/>
  <c r="I120" i="18"/>
  <c r="I7" i="18" s="1"/>
  <c r="H108" i="18"/>
  <c r="H114" i="18"/>
  <c r="J119" i="18"/>
  <c r="J17" i="18"/>
  <c r="K16" i="18"/>
  <c r="K31" i="18" s="1"/>
  <c r="J18" i="18"/>
  <c r="J109" i="18"/>
  <c r="J111" i="18"/>
  <c r="J64" i="18"/>
  <c r="J66" i="18"/>
  <c r="I67" i="18"/>
  <c r="G35" i="18"/>
  <c r="G43" i="18" s="1"/>
  <c r="G41" i="18" s="1"/>
  <c r="J27" i="18"/>
  <c r="I61" i="18"/>
  <c r="I106" i="18"/>
  <c r="G127" i="18"/>
  <c r="G123" i="18"/>
  <c r="I19" i="18"/>
  <c r="I20" i="18"/>
  <c r="I22" i="18" s="1"/>
  <c r="F135" i="18"/>
  <c r="F139" i="18" s="1"/>
  <c r="L18" i="13"/>
  <c r="K20" i="13"/>
  <c r="K36" i="13"/>
  <c r="J38" i="13"/>
  <c r="J12" i="13"/>
  <c r="I14" i="13"/>
  <c r="F40" i="13"/>
  <c r="G37" i="13"/>
  <c r="E33" i="13"/>
  <c r="E34" i="13"/>
  <c r="F31" i="13"/>
  <c r="F28" i="13"/>
  <c r="F27" i="13"/>
  <c r="G25" i="13"/>
  <c r="F21" i="13"/>
  <c r="F22" i="13"/>
  <c r="G19" i="13"/>
  <c r="E15" i="13"/>
  <c r="E16" i="13"/>
  <c r="F13" i="13"/>
  <c r="M28" i="19" l="1"/>
  <c r="M29" i="19"/>
  <c r="M30" i="19"/>
  <c r="M31" i="19"/>
  <c r="G132" i="18"/>
  <c r="G135" i="18" s="1"/>
  <c r="G139" i="18" s="1"/>
  <c r="F51" i="18"/>
  <c r="F59" i="18" s="1"/>
  <c r="G100" i="18"/>
  <c r="G142" i="18" s="1"/>
  <c r="G49" i="18"/>
  <c r="G51" i="18" s="1"/>
  <c r="G59" i="18" s="1"/>
  <c r="G57" i="18" s="1"/>
  <c r="G74" i="18"/>
  <c r="G77" i="18" s="1"/>
  <c r="G81" i="18" s="1"/>
  <c r="F156" i="18"/>
  <c r="F192" i="18" s="1"/>
  <c r="G97" i="18"/>
  <c r="G137" i="18" s="1"/>
  <c r="F153" i="18"/>
  <c r="F189" i="18" s="1"/>
  <c r="G134" i="18"/>
  <c r="G136" i="18" s="1"/>
  <c r="G146" i="18" s="1"/>
  <c r="G144" i="18" s="1"/>
  <c r="G95" i="18"/>
  <c r="G98" i="18" s="1"/>
  <c r="G99" i="18" s="1"/>
  <c r="H92" i="18"/>
  <c r="H94" i="18" s="1"/>
  <c r="H134" i="18" s="1"/>
  <c r="H136" i="18" s="1"/>
  <c r="H146" i="18" s="1"/>
  <c r="F150" i="18"/>
  <c r="F186" i="18" s="1"/>
  <c r="F159" i="18"/>
  <c r="F195" i="18" s="1"/>
  <c r="F191" i="18"/>
  <c r="H34" i="19"/>
  <c r="L34" i="19" s="1"/>
  <c r="K34" i="19"/>
  <c r="M34" i="19" s="1"/>
  <c r="K33" i="19"/>
  <c r="H33" i="19"/>
  <c r="L33" i="19" s="1"/>
  <c r="H32" i="19"/>
  <c r="L32" i="19" s="1"/>
  <c r="K32" i="19"/>
  <c r="M32" i="19" s="1"/>
  <c r="H35" i="19"/>
  <c r="L35" i="19" s="1"/>
  <c r="K35" i="19"/>
  <c r="G104" i="18"/>
  <c r="G102" i="18" s="1"/>
  <c r="G158" i="18"/>
  <c r="F194" i="18"/>
  <c r="F197" i="18"/>
  <c r="F102" i="18"/>
  <c r="G155" i="18"/>
  <c r="G161" i="18"/>
  <c r="F142" i="18"/>
  <c r="J113" i="18"/>
  <c r="H118" i="18"/>
  <c r="H116" i="18" s="1"/>
  <c r="H167" i="18"/>
  <c r="H173" i="18"/>
  <c r="H170" i="18"/>
  <c r="H164" i="18"/>
  <c r="I125" i="18"/>
  <c r="I126" i="18" s="1"/>
  <c r="I174" i="18"/>
  <c r="I175" i="18" s="1"/>
  <c r="I183" i="18"/>
  <c r="I184" i="18" s="1"/>
  <c r="I180" i="18"/>
  <c r="I177" i="18"/>
  <c r="G131" i="18"/>
  <c r="G129" i="18" s="1"/>
  <c r="G185" i="18"/>
  <c r="G176" i="18"/>
  <c r="G188" i="18" s="1"/>
  <c r="G182" i="18"/>
  <c r="G179" i="18"/>
  <c r="I23" i="18"/>
  <c r="I24" i="18"/>
  <c r="I47" i="18" s="1"/>
  <c r="H41" i="18"/>
  <c r="H127" i="18"/>
  <c r="H123" i="18"/>
  <c r="I21" i="18"/>
  <c r="J122" i="18"/>
  <c r="J68" i="18"/>
  <c r="H52" i="18"/>
  <c r="H79" i="18" s="1"/>
  <c r="H50" i="18"/>
  <c r="H53" i="18" s="1"/>
  <c r="H74" i="18"/>
  <c r="H77" i="18" s="1"/>
  <c r="H81" i="18" s="1"/>
  <c r="H49" i="18"/>
  <c r="I121" i="18"/>
  <c r="I114" i="18"/>
  <c r="I115" i="18" s="1"/>
  <c r="I108" i="18"/>
  <c r="J34" i="18"/>
  <c r="J37" i="18" s="1"/>
  <c r="J19" i="18"/>
  <c r="J20" i="18"/>
  <c r="J22" i="18" s="1"/>
  <c r="I11" i="18"/>
  <c r="F141" i="18"/>
  <c r="G141" i="18" s="1"/>
  <c r="I33" i="18"/>
  <c r="I63" i="18"/>
  <c r="I73" i="18" s="1"/>
  <c r="I71" i="18" s="1"/>
  <c r="I72" i="18" s="1"/>
  <c r="I69" i="18"/>
  <c r="L16" i="18"/>
  <c r="L31" i="18" s="1"/>
  <c r="K18" i="18"/>
  <c r="K119" i="18"/>
  <c r="K17" i="18"/>
  <c r="K109" i="18"/>
  <c r="K111" i="18"/>
  <c r="K34" i="18"/>
  <c r="K37" i="18" s="1"/>
  <c r="K64" i="18"/>
  <c r="K66" i="18"/>
  <c r="J106" i="18"/>
  <c r="J61" i="18"/>
  <c r="K27" i="18"/>
  <c r="M18" i="13"/>
  <c r="M20" i="13" s="1"/>
  <c r="L20" i="13"/>
  <c r="L36" i="13"/>
  <c r="K38" i="13"/>
  <c r="K12" i="13"/>
  <c r="J14" i="13"/>
  <c r="G40" i="13"/>
  <c r="H37" i="13"/>
  <c r="F34" i="13"/>
  <c r="F33" i="13"/>
  <c r="G31" i="13"/>
  <c r="G28" i="13"/>
  <c r="G27" i="13"/>
  <c r="H25" i="13"/>
  <c r="G22" i="13"/>
  <c r="G21" i="13"/>
  <c r="H19" i="13"/>
  <c r="G13" i="13"/>
  <c r="F16" i="13"/>
  <c r="F15" i="13"/>
  <c r="M35" i="19" l="1"/>
  <c r="M33" i="19"/>
  <c r="G76" i="18"/>
  <c r="G78" i="18" s="1"/>
  <c r="G88" i="18" s="1"/>
  <c r="G86" i="18" s="1"/>
  <c r="H132" i="18"/>
  <c r="H135" i="18" s="1"/>
  <c r="H139" i="18" s="1"/>
  <c r="G153" i="18"/>
  <c r="G189" i="18" s="1"/>
  <c r="G159" i="18"/>
  <c r="G195" i="18" s="1"/>
  <c r="G156" i="18"/>
  <c r="G192" i="18" s="1"/>
  <c r="G150" i="18"/>
  <c r="G186" i="18" s="1"/>
  <c r="H144" i="18"/>
  <c r="H95" i="18"/>
  <c r="H150" i="18" s="1"/>
  <c r="H186" i="18" s="1"/>
  <c r="H97" i="18"/>
  <c r="H137" i="18" s="1"/>
  <c r="H96" i="18"/>
  <c r="H161" i="18" s="1"/>
  <c r="H100" i="18"/>
  <c r="H142" i="18" s="1"/>
  <c r="H39" i="19"/>
  <c r="L39" i="19" s="1"/>
  <c r="K39" i="19"/>
  <c r="M39" i="19" s="1"/>
  <c r="K36" i="19"/>
  <c r="H36" i="19"/>
  <c r="L36" i="19" s="1"/>
  <c r="K37" i="19"/>
  <c r="H37" i="19"/>
  <c r="L37" i="19" s="1"/>
  <c r="H38" i="19"/>
  <c r="L38" i="19" s="1"/>
  <c r="K38" i="19"/>
  <c r="G191" i="18"/>
  <c r="G194" i="18"/>
  <c r="G197" i="18"/>
  <c r="K113" i="18"/>
  <c r="I118" i="18"/>
  <c r="I116" i="18" s="1"/>
  <c r="I117" i="18" s="1"/>
  <c r="I173" i="18"/>
  <c r="I170" i="18"/>
  <c r="I167" i="18"/>
  <c r="I164" i="18"/>
  <c r="J125" i="18"/>
  <c r="J126" i="18" s="1"/>
  <c r="J183" i="18"/>
  <c r="J180" i="18"/>
  <c r="J177" i="18"/>
  <c r="J174" i="18"/>
  <c r="H131" i="18"/>
  <c r="H129" i="18" s="1"/>
  <c r="H185" i="18"/>
  <c r="H182" i="18"/>
  <c r="H179" i="18"/>
  <c r="H176" i="18"/>
  <c r="I181" i="18"/>
  <c r="I178" i="18"/>
  <c r="I92" i="18"/>
  <c r="I25" i="18"/>
  <c r="J33" i="18"/>
  <c r="J35" i="18" s="1"/>
  <c r="J43" i="18" s="1"/>
  <c r="J24" i="18"/>
  <c r="J47" i="18" s="1"/>
  <c r="J63" i="18"/>
  <c r="J73" i="18" s="1"/>
  <c r="J71" i="18" s="1"/>
  <c r="J69" i="18"/>
  <c r="K122" i="18"/>
  <c r="I35" i="18"/>
  <c r="I43" i="18" s="1"/>
  <c r="I41" i="18" s="1"/>
  <c r="J114" i="18"/>
  <c r="J108" i="18"/>
  <c r="K20" i="18"/>
  <c r="K19" i="18"/>
  <c r="H76" i="18"/>
  <c r="H78" i="18" s="1"/>
  <c r="H88" i="18" s="1"/>
  <c r="H86" i="18" s="1"/>
  <c r="H51" i="18"/>
  <c r="H59" i="18" s="1"/>
  <c r="H57" i="18" s="1"/>
  <c r="L18" i="18"/>
  <c r="L17" i="18"/>
  <c r="M16" i="18"/>
  <c r="M31" i="18" s="1"/>
  <c r="L119" i="18"/>
  <c r="L64" i="18"/>
  <c r="L109" i="18"/>
  <c r="L34" i="18"/>
  <c r="L37" i="18" s="1"/>
  <c r="L66" i="18"/>
  <c r="L111" i="18"/>
  <c r="J121" i="18"/>
  <c r="I127" i="18"/>
  <c r="I123" i="18"/>
  <c r="K68" i="18"/>
  <c r="I70" i="18"/>
  <c r="K106" i="18"/>
  <c r="K61" i="18"/>
  <c r="L27" i="18"/>
  <c r="I74" i="18"/>
  <c r="I50" i="18"/>
  <c r="I53" i="18" s="1"/>
  <c r="I52" i="18"/>
  <c r="I79" i="18" s="1"/>
  <c r="I49" i="18"/>
  <c r="M36" i="13"/>
  <c r="M38" i="13" s="1"/>
  <c r="L38" i="13"/>
  <c r="L12" i="13"/>
  <c r="K14" i="13"/>
  <c r="H40" i="13"/>
  <c r="H41" i="13" s="1"/>
  <c r="I37" i="13"/>
  <c r="G34" i="13"/>
  <c r="H31" i="13"/>
  <c r="H28" i="13"/>
  <c r="H29" i="13" s="1"/>
  <c r="H27" i="13"/>
  <c r="I25" i="13"/>
  <c r="H22" i="13"/>
  <c r="H23" i="13" s="1"/>
  <c r="H21" i="13"/>
  <c r="I19" i="13"/>
  <c r="G16" i="13"/>
  <c r="G15" i="13"/>
  <c r="H13" i="13"/>
  <c r="M38" i="19" l="1"/>
  <c r="M36" i="19"/>
  <c r="M37" i="19"/>
  <c r="H153" i="18"/>
  <c r="H197" i="18"/>
  <c r="H152" i="18"/>
  <c r="H188" i="18" s="1"/>
  <c r="H158" i="18"/>
  <c r="H194" i="18" s="1"/>
  <c r="H104" i="18"/>
  <c r="H102" i="18" s="1"/>
  <c r="H159" i="18"/>
  <c r="H195" i="18" s="1"/>
  <c r="H98" i="18"/>
  <c r="H99" i="18" s="1"/>
  <c r="H156" i="18"/>
  <c r="H192" i="18" s="1"/>
  <c r="H155" i="18"/>
  <c r="H191" i="18" s="1"/>
  <c r="K22" i="18"/>
  <c r="K24" i="18" s="1"/>
  <c r="K47" i="18" s="1"/>
  <c r="K41" i="19"/>
  <c r="H41" i="19"/>
  <c r="L41" i="19" s="1"/>
  <c r="H40" i="19"/>
  <c r="L40" i="19" s="1"/>
  <c r="K40" i="19"/>
  <c r="M40" i="19" s="1"/>
  <c r="H42" i="19"/>
  <c r="L42" i="19" s="1"/>
  <c r="K42" i="19"/>
  <c r="L68" i="18"/>
  <c r="I97" i="18"/>
  <c r="I137" i="18" s="1"/>
  <c r="I138" i="18" s="1"/>
  <c r="I94" i="18"/>
  <c r="L113" i="18"/>
  <c r="J118" i="18"/>
  <c r="J116" i="18" s="1"/>
  <c r="J173" i="18"/>
  <c r="J170" i="18"/>
  <c r="J164" i="18"/>
  <c r="J167" i="18"/>
  <c r="I131" i="18"/>
  <c r="I129" i="18" s="1"/>
  <c r="I130" i="18" s="1"/>
  <c r="I182" i="18"/>
  <c r="I179" i="18"/>
  <c r="I176" i="18"/>
  <c r="I185" i="18"/>
  <c r="K125" i="18"/>
  <c r="K126" i="18" s="1"/>
  <c r="K174" i="18"/>
  <c r="K183" i="18"/>
  <c r="K180" i="18"/>
  <c r="K177" i="18"/>
  <c r="I132" i="18"/>
  <c r="I133" i="18" s="1"/>
  <c r="I12" i="18" s="1"/>
  <c r="I95" i="18"/>
  <c r="I156" i="18" s="1"/>
  <c r="I192" i="18" s="1"/>
  <c r="I93" i="18"/>
  <c r="I9" i="18" s="1"/>
  <c r="J52" i="18"/>
  <c r="J79" i="18" s="1"/>
  <c r="J92" i="18"/>
  <c r="K33" i="18"/>
  <c r="K35" i="18" s="1"/>
  <c r="K43" i="18" s="1"/>
  <c r="K41" i="18" s="1"/>
  <c r="J41" i="18"/>
  <c r="I76" i="18"/>
  <c r="I78" i="18" s="1"/>
  <c r="I88" i="18" s="1"/>
  <c r="I86" i="18" s="1"/>
  <c r="I51" i="18"/>
  <c r="I59" i="18" s="1"/>
  <c r="I57" i="18" s="1"/>
  <c r="K114" i="18"/>
  <c r="K108" i="18"/>
  <c r="L20" i="18"/>
  <c r="L22" i="18" s="1"/>
  <c r="L19" i="18"/>
  <c r="L122" i="18"/>
  <c r="J74" i="18"/>
  <c r="J77" i="18" s="1"/>
  <c r="J81" i="18" s="1"/>
  <c r="J50" i="18"/>
  <c r="J53" i="18" s="1"/>
  <c r="L106" i="18"/>
  <c r="M27" i="18"/>
  <c r="L61" i="18"/>
  <c r="I128" i="18"/>
  <c r="J123" i="18"/>
  <c r="J127" i="18"/>
  <c r="M17" i="18"/>
  <c r="N16" i="18"/>
  <c r="N31" i="18" s="1"/>
  <c r="M119" i="18"/>
  <c r="M18" i="18"/>
  <c r="M34" i="18"/>
  <c r="M37" i="18" s="1"/>
  <c r="M109" i="18"/>
  <c r="M64" i="18"/>
  <c r="M66" i="18"/>
  <c r="M111" i="18"/>
  <c r="H189" i="18"/>
  <c r="I77" i="18"/>
  <c r="I81" i="18" s="1"/>
  <c r="K69" i="18"/>
  <c r="K63" i="18"/>
  <c r="K73" i="18" s="1"/>
  <c r="K71" i="18" s="1"/>
  <c r="H141" i="18"/>
  <c r="K121" i="18"/>
  <c r="M12" i="13"/>
  <c r="M14" i="13" s="1"/>
  <c r="L14" i="13"/>
  <c r="J37" i="13"/>
  <c r="I40" i="13"/>
  <c r="I31" i="13"/>
  <c r="H34" i="13"/>
  <c r="I27" i="13"/>
  <c r="I28" i="13"/>
  <c r="J25" i="13"/>
  <c r="J19" i="13"/>
  <c r="I21" i="13"/>
  <c r="I22" i="13"/>
  <c r="H15" i="13"/>
  <c r="H16" i="13"/>
  <c r="H17" i="13" s="1"/>
  <c r="I13" i="13"/>
  <c r="M42" i="19" l="1"/>
  <c r="M41" i="19"/>
  <c r="K92" i="18"/>
  <c r="K94" i="18" s="1"/>
  <c r="K96" i="18" s="1"/>
  <c r="M68" i="18"/>
  <c r="K134" i="18"/>
  <c r="K136" i="18" s="1"/>
  <c r="K146" i="18" s="1"/>
  <c r="I100" i="18"/>
  <c r="I134" i="18"/>
  <c r="I136" i="18" s="1"/>
  <c r="I146" i="18" s="1"/>
  <c r="I144" i="18" s="1"/>
  <c r="I145" i="18" s="1"/>
  <c r="I96" i="18"/>
  <c r="J132" i="18"/>
  <c r="J135" i="18" s="1"/>
  <c r="J139" i="18" s="1"/>
  <c r="J94" i="18"/>
  <c r="M113" i="18"/>
  <c r="K118" i="18"/>
  <c r="K116" i="18" s="1"/>
  <c r="K167" i="18"/>
  <c r="K173" i="18"/>
  <c r="K164" i="18"/>
  <c r="K170" i="18"/>
  <c r="J97" i="18"/>
  <c r="J137" i="18" s="1"/>
  <c r="I153" i="18"/>
  <c r="I154" i="18" s="1"/>
  <c r="L125" i="18"/>
  <c r="L126" i="18" s="1"/>
  <c r="L183" i="18"/>
  <c r="L180" i="18"/>
  <c r="L177" i="18"/>
  <c r="L174" i="18"/>
  <c r="J131" i="18"/>
  <c r="J129" i="18" s="1"/>
  <c r="J182" i="18"/>
  <c r="J179" i="18"/>
  <c r="J176" i="18"/>
  <c r="J185" i="18"/>
  <c r="I150" i="18"/>
  <c r="I151" i="18" s="1"/>
  <c r="I98" i="18"/>
  <c r="I99" i="18" s="1"/>
  <c r="I159" i="18"/>
  <c r="I195" i="18" s="1"/>
  <c r="I196" i="18" s="1"/>
  <c r="M10" i="18" s="1"/>
  <c r="N10" i="18" s="1"/>
  <c r="I135" i="18"/>
  <c r="I139" i="18" s="1"/>
  <c r="I140" i="18" s="1"/>
  <c r="J95" i="18"/>
  <c r="J159" i="18" s="1"/>
  <c r="J195" i="18" s="1"/>
  <c r="J49" i="18"/>
  <c r="J76" i="18" s="1"/>
  <c r="J78" i="18" s="1"/>
  <c r="J88" i="18" s="1"/>
  <c r="J86" i="18" s="1"/>
  <c r="L33" i="18"/>
  <c r="L35" i="18" s="1"/>
  <c r="L43" i="18" s="1"/>
  <c r="L41" i="18" s="1"/>
  <c r="L24" i="18"/>
  <c r="L47" i="18" s="1"/>
  <c r="L121" i="18"/>
  <c r="I189" i="18"/>
  <c r="I190" i="18" s="1"/>
  <c r="M6" i="18" s="1"/>
  <c r="N6" i="18" s="1"/>
  <c r="M122" i="18"/>
  <c r="N27" i="18"/>
  <c r="M61" i="18"/>
  <c r="M106" i="18"/>
  <c r="K158" i="18"/>
  <c r="K152" i="18"/>
  <c r="K155" i="18"/>
  <c r="K161" i="18"/>
  <c r="K104" i="18"/>
  <c r="I193" i="18"/>
  <c r="M8" i="18" s="1"/>
  <c r="N8" i="18" s="1"/>
  <c r="K127" i="18"/>
  <c r="K123" i="18"/>
  <c r="N17" i="18"/>
  <c r="N119" i="18"/>
  <c r="N18" i="18"/>
  <c r="N64" i="18"/>
  <c r="N65" i="18" s="1"/>
  <c r="N109" i="18"/>
  <c r="N110" i="18" s="1"/>
  <c r="N66" i="18"/>
  <c r="N67" i="18" s="1"/>
  <c r="N111" i="18"/>
  <c r="N112" i="18" s="1"/>
  <c r="L114" i="18"/>
  <c r="L108" i="18"/>
  <c r="K74" i="18"/>
  <c r="K77" i="18" s="1"/>
  <c r="K81" i="18" s="1"/>
  <c r="K52" i="18"/>
  <c r="K79" i="18" s="1"/>
  <c r="K50" i="18"/>
  <c r="K53" i="18" s="1"/>
  <c r="K49" i="18"/>
  <c r="K97" i="18"/>
  <c r="K137" i="18" s="1"/>
  <c r="K132" i="18"/>
  <c r="K135" i="18" s="1"/>
  <c r="K139" i="18" s="1"/>
  <c r="K95" i="18"/>
  <c r="M19" i="18"/>
  <c r="M20" i="18"/>
  <c r="L69" i="18"/>
  <c r="L63" i="18"/>
  <c r="L73" i="18" s="1"/>
  <c r="L71" i="18" s="1"/>
  <c r="I157" i="18"/>
  <c r="J39" i="13"/>
  <c r="J40" i="13"/>
  <c r="K37" i="13"/>
  <c r="I34" i="13"/>
  <c r="J31" i="13"/>
  <c r="H35" i="13"/>
  <c r="K25" i="13"/>
  <c r="J27" i="13"/>
  <c r="J28" i="13"/>
  <c r="J22" i="13"/>
  <c r="J21" i="13"/>
  <c r="K19" i="13"/>
  <c r="J13" i="13"/>
  <c r="I15" i="13"/>
  <c r="I16" i="13"/>
  <c r="M22" i="18" l="1"/>
  <c r="M24" i="18" s="1"/>
  <c r="I161" i="18"/>
  <c r="I197" i="18" s="1"/>
  <c r="M11" i="18" s="1"/>
  <c r="N11" i="18" s="1"/>
  <c r="I104" i="18"/>
  <c r="I102" i="18" s="1"/>
  <c r="I103" i="18" s="1"/>
  <c r="I155" i="18"/>
  <c r="I191" i="18" s="1"/>
  <c r="M7" i="18" s="1"/>
  <c r="N7" i="18" s="1"/>
  <c r="I158" i="18"/>
  <c r="I194" i="18" s="1"/>
  <c r="M9" i="18" s="1"/>
  <c r="N9" i="18" s="1"/>
  <c r="I152" i="18"/>
  <c r="I188" i="18" s="1"/>
  <c r="M5" i="18" s="1"/>
  <c r="N5" i="18" s="1"/>
  <c r="J96" i="18"/>
  <c r="J134" i="18"/>
  <c r="J136" i="18" s="1"/>
  <c r="J146" i="18" s="1"/>
  <c r="J100" i="18"/>
  <c r="I101" i="18"/>
  <c r="I142" i="18"/>
  <c r="I143" i="18" s="1"/>
  <c r="I160" i="18"/>
  <c r="J51" i="18"/>
  <c r="J59" i="18" s="1"/>
  <c r="J57" i="18" s="1"/>
  <c r="L118" i="18"/>
  <c r="L116" i="18" s="1"/>
  <c r="L173" i="18"/>
  <c r="L170" i="18"/>
  <c r="L164" i="18"/>
  <c r="L167" i="18"/>
  <c r="K131" i="18"/>
  <c r="K129" i="18" s="1"/>
  <c r="K185" i="18"/>
  <c r="K197" i="18" s="1"/>
  <c r="K179" i="18"/>
  <c r="K191" i="18" s="1"/>
  <c r="K176" i="18"/>
  <c r="K188" i="18" s="1"/>
  <c r="K182" i="18"/>
  <c r="K194" i="18" s="1"/>
  <c r="J98" i="18"/>
  <c r="J99" i="18" s="1"/>
  <c r="I186" i="18"/>
  <c r="I187" i="18" s="1"/>
  <c r="M4" i="18" s="1"/>
  <c r="N4" i="18" s="1"/>
  <c r="M125" i="18"/>
  <c r="M126" i="18" s="1"/>
  <c r="M180" i="18"/>
  <c r="M177" i="18"/>
  <c r="M174" i="18"/>
  <c r="M183" i="18"/>
  <c r="J156" i="18"/>
  <c r="J192" i="18" s="1"/>
  <c r="J153" i="18"/>
  <c r="J189" i="18" s="1"/>
  <c r="J150" i="18"/>
  <c r="J186" i="18" s="1"/>
  <c r="I141" i="18"/>
  <c r="J141" i="18" s="1"/>
  <c r="K141" i="18" s="1"/>
  <c r="L92" i="18"/>
  <c r="L74" i="18"/>
  <c r="L77" i="18" s="1"/>
  <c r="L81" i="18" s="1"/>
  <c r="N113" i="18"/>
  <c r="L123" i="18"/>
  <c r="L127" i="18"/>
  <c r="N68" i="18"/>
  <c r="L52" i="18"/>
  <c r="L79" i="18" s="1"/>
  <c r="L50" i="18"/>
  <c r="L53" i="18" s="1"/>
  <c r="L49" i="18"/>
  <c r="N122" i="18"/>
  <c r="N120" i="18"/>
  <c r="K156" i="18"/>
  <c r="K192" i="18" s="1"/>
  <c r="K159" i="18"/>
  <c r="K98" i="18"/>
  <c r="K150" i="18"/>
  <c r="K153" i="18"/>
  <c r="N34" i="18"/>
  <c r="N37" i="18" s="1"/>
  <c r="M108" i="18"/>
  <c r="M114" i="18"/>
  <c r="M121" i="18"/>
  <c r="K76" i="18"/>
  <c r="K78" i="18" s="1"/>
  <c r="K88" i="18" s="1"/>
  <c r="K86" i="18" s="1"/>
  <c r="K51" i="18"/>
  <c r="K59" i="18" s="1"/>
  <c r="M69" i="18"/>
  <c r="M63" i="18"/>
  <c r="M73" i="18" s="1"/>
  <c r="M71" i="18" s="1"/>
  <c r="M33" i="18"/>
  <c r="N19" i="18"/>
  <c r="N20" i="18"/>
  <c r="N22" i="18" s="1"/>
  <c r="N106" i="18"/>
  <c r="N61" i="18"/>
  <c r="K40" i="13"/>
  <c r="K39" i="13"/>
  <c r="L37" i="13"/>
  <c r="J34" i="13"/>
  <c r="J33" i="13"/>
  <c r="K31" i="13"/>
  <c r="K28" i="13"/>
  <c r="K27" i="13"/>
  <c r="L25" i="13"/>
  <c r="L19" i="13"/>
  <c r="K22" i="13"/>
  <c r="K21" i="13"/>
  <c r="K13" i="13"/>
  <c r="J16" i="13"/>
  <c r="J15" i="13"/>
  <c r="M47" i="18" l="1"/>
  <c r="M74" i="18" s="1"/>
  <c r="M77" i="18" s="1"/>
  <c r="M81" i="18" s="1"/>
  <c r="M92" i="18"/>
  <c r="M94" i="18" s="1"/>
  <c r="M96" i="18" s="1"/>
  <c r="M161" i="18" s="1"/>
  <c r="K57" i="18"/>
  <c r="J144" i="18"/>
  <c r="K144" i="18"/>
  <c r="J152" i="18"/>
  <c r="J188" i="18" s="1"/>
  <c r="J161" i="18"/>
  <c r="J197" i="18" s="1"/>
  <c r="J104" i="18"/>
  <c r="J155" i="18"/>
  <c r="J191" i="18" s="1"/>
  <c r="J158" i="18"/>
  <c r="J194" i="18" s="1"/>
  <c r="M134" i="18"/>
  <c r="M136" i="18" s="1"/>
  <c r="M146" i="18" s="1"/>
  <c r="L132" i="18"/>
  <c r="L135" i="18" s="1"/>
  <c r="L139" i="18" s="1"/>
  <c r="L94" i="18"/>
  <c r="J142" i="18"/>
  <c r="K100" i="18"/>
  <c r="K142" i="18" s="1"/>
  <c r="L95" i="18"/>
  <c r="L153" i="18" s="1"/>
  <c r="L189" i="18" s="1"/>
  <c r="M118" i="18"/>
  <c r="M116" i="18" s="1"/>
  <c r="M164" i="18"/>
  <c r="M173" i="18"/>
  <c r="M170" i="18"/>
  <c r="M167" i="18"/>
  <c r="K99" i="18"/>
  <c r="N125" i="18"/>
  <c r="N126" i="18" s="1"/>
  <c r="N183" i="18"/>
  <c r="N184" i="18" s="1"/>
  <c r="N180" i="18"/>
  <c r="N181" i="18" s="1"/>
  <c r="N177" i="18"/>
  <c r="N178" i="18" s="1"/>
  <c r="N174" i="18"/>
  <c r="N175" i="18" s="1"/>
  <c r="L131" i="18"/>
  <c r="L129" i="18" s="1"/>
  <c r="L185" i="18"/>
  <c r="L182" i="18"/>
  <c r="L179" i="18"/>
  <c r="L176" i="18"/>
  <c r="L97" i="18"/>
  <c r="L137" i="18" s="1"/>
  <c r="N23" i="18"/>
  <c r="N24" i="18"/>
  <c r="N47" i="18" s="1"/>
  <c r="L141" i="18"/>
  <c r="K195" i="18"/>
  <c r="N63" i="18"/>
  <c r="N73" i="18" s="1"/>
  <c r="N71" i="18" s="1"/>
  <c r="N72" i="18" s="1"/>
  <c r="N69" i="18"/>
  <c r="N70" i="18" s="1"/>
  <c r="N21" i="18"/>
  <c r="N121" i="18"/>
  <c r="K189" i="18"/>
  <c r="M132" i="18"/>
  <c r="M135" i="18" s="1"/>
  <c r="M139" i="18" s="1"/>
  <c r="M97" i="18"/>
  <c r="M137" i="18" s="1"/>
  <c r="L76" i="18"/>
  <c r="L78" i="18" s="1"/>
  <c r="L88" i="18" s="1"/>
  <c r="L86" i="18" s="1"/>
  <c r="L51" i="18"/>
  <c r="L59" i="18" s="1"/>
  <c r="L57" i="18" s="1"/>
  <c r="N114" i="18"/>
  <c r="N115" i="18" s="1"/>
  <c r="N108" i="18"/>
  <c r="M127" i="18"/>
  <c r="M123" i="18"/>
  <c r="K186" i="18"/>
  <c r="M155" i="18"/>
  <c r="M52" i="18"/>
  <c r="M79" i="18" s="1"/>
  <c r="N33" i="18"/>
  <c r="M35" i="18"/>
  <c r="M43" i="18" s="1"/>
  <c r="M41" i="18" s="1"/>
  <c r="L40" i="13"/>
  <c r="L39" i="13"/>
  <c r="M37" i="13"/>
  <c r="K34" i="13"/>
  <c r="K33" i="13"/>
  <c r="L31" i="13"/>
  <c r="M25" i="13"/>
  <c r="L27" i="13"/>
  <c r="L28" i="13"/>
  <c r="L21" i="13"/>
  <c r="L22" i="13"/>
  <c r="M19" i="13"/>
  <c r="L13" i="13"/>
  <c r="K16" i="13"/>
  <c r="K15" i="13"/>
  <c r="M49" i="18" l="1"/>
  <c r="M50" i="18"/>
  <c r="M53" i="18" s="1"/>
  <c r="M152" i="18"/>
  <c r="M188" i="18" s="1"/>
  <c r="M158" i="18"/>
  <c r="M104" i="18"/>
  <c r="M95" i="18"/>
  <c r="M150" i="18" s="1"/>
  <c r="M186" i="18" s="1"/>
  <c r="L159" i="18"/>
  <c r="L195" i="18" s="1"/>
  <c r="L150" i="18"/>
  <c r="L186" i="18" s="1"/>
  <c r="L156" i="18"/>
  <c r="L192" i="18" s="1"/>
  <c r="J102" i="18"/>
  <c r="K102" i="18"/>
  <c r="L100" i="18"/>
  <c r="L96" i="18"/>
  <c r="L134" i="18"/>
  <c r="L136" i="18" s="1"/>
  <c r="L146" i="18" s="1"/>
  <c r="L144" i="18" s="1"/>
  <c r="L98" i="18"/>
  <c r="L99" i="18" s="1"/>
  <c r="N118" i="18"/>
  <c r="N116" i="18" s="1"/>
  <c r="N117" i="18" s="1"/>
  <c r="N173" i="18"/>
  <c r="N170" i="18"/>
  <c r="N164" i="18"/>
  <c r="N167" i="18"/>
  <c r="M131" i="18"/>
  <c r="M129" i="18" s="1"/>
  <c r="M176" i="18"/>
  <c r="M182" i="18"/>
  <c r="M179" i="18"/>
  <c r="M191" i="18" s="1"/>
  <c r="M185" i="18"/>
  <c r="M197" i="18" s="1"/>
  <c r="N25" i="18"/>
  <c r="N92" i="18"/>
  <c r="N49" i="18"/>
  <c r="M141" i="18"/>
  <c r="N52" i="18"/>
  <c r="N79" i="18" s="1"/>
  <c r="N50" i="18"/>
  <c r="N53" i="18" s="1"/>
  <c r="N35" i="18"/>
  <c r="N43" i="18" s="1"/>
  <c r="N41" i="18" s="1"/>
  <c r="N127" i="18"/>
  <c r="N128" i="18" s="1"/>
  <c r="N123" i="18"/>
  <c r="M76" i="18"/>
  <c r="M78" i="18" s="1"/>
  <c r="M88" i="18" s="1"/>
  <c r="M86" i="18" s="1"/>
  <c r="M51" i="18"/>
  <c r="M59" i="18" s="1"/>
  <c r="M57" i="18" s="1"/>
  <c r="M39" i="13"/>
  <c r="M40" i="13"/>
  <c r="M41" i="13" s="1"/>
  <c r="M31" i="13"/>
  <c r="L33" i="13"/>
  <c r="L34" i="13"/>
  <c r="M27" i="13"/>
  <c r="M28" i="13"/>
  <c r="M29" i="13" s="1"/>
  <c r="M21" i="13"/>
  <c r="M22" i="13"/>
  <c r="M23" i="13" s="1"/>
  <c r="L15" i="13"/>
  <c r="L16" i="13"/>
  <c r="M13" i="13"/>
  <c r="M98" i="18" l="1"/>
  <c r="M159" i="18"/>
  <c r="M195" i="18" s="1"/>
  <c r="M194" i="18"/>
  <c r="M156" i="18"/>
  <c r="M192" i="18" s="1"/>
  <c r="M153" i="18"/>
  <c r="M189" i="18" s="1"/>
  <c r="M144" i="18"/>
  <c r="L155" i="18"/>
  <c r="L191" i="18" s="1"/>
  <c r="L104" i="18"/>
  <c r="L161" i="18"/>
  <c r="L197" i="18" s="1"/>
  <c r="L158" i="18"/>
  <c r="L194" i="18" s="1"/>
  <c r="L152" i="18"/>
  <c r="L188" i="18" s="1"/>
  <c r="M99" i="18"/>
  <c r="M100" i="18"/>
  <c r="M142" i="18" s="1"/>
  <c r="L142" i="18"/>
  <c r="N95" i="18"/>
  <c r="N159" i="18" s="1"/>
  <c r="N94" i="18"/>
  <c r="N97" i="18"/>
  <c r="N137" i="18" s="1"/>
  <c r="N138" i="18" s="1"/>
  <c r="N132" i="18"/>
  <c r="N133" i="18" s="1"/>
  <c r="N131" i="18"/>
  <c r="N129" i="18" s="1"/>
  <c r="N130" i="18" s="1"/>
  <c r="N182" i="18"/>
  <c r="N179" i="18"/>
  <c r="N176" i="18"/>
  <c r="N185" i="18"/>
  <c r="N93" i="18"/>
  <c r="N74" i="18"/>
  <c r="N77" i="18" s="1"/>
  <c r="N81" i="18" s="1"/>
  <c r="N135" i="18"/>
  <c r="N139" i="18" s="1"/>
  <c r="N76" i="18"/>
  <c r="N78" i="18" s="1"/>
  <c r="N88" i="18" s="1"/>
  <c r="N86" i="18" s="1"/>
  <c r="N51" i="18"/>
  <c r="N59" i="18" s="1"/>
  <c r="N57" i="18" s="1"/>
  <c r="M33" i="13"/>
  <c r="M34" i="13"/>
  <c r="M35" i="13" s="1"/>
  <c r="M15" i="13"/>
  <c r="M16" i="13"/>
  <c r="N98" i="18" l="1"/>
  <c r="N99" i="18" s="1"/>
  <c r="N156" i="18"/>
  <c r="N157" i="18" s="1"/>
  <c r="N153" i="18"/>
  <c r="N189" i="18" s="1"/>
  <c r="N190" i="18" s="1"/>
  <c r="N150" i="18"/>
  <c r="N151" i="18" s="1"/>
  <c r="L102" i="18"/>
  <c r="M102" i="18"/>
  <c r="N134" i="18"/>
  <c r="N136" i="18" s="1"/>
  <c r="N146" i="18" s="1"/>
  <c r="N144" i="18" s="1"/>
  <c r="N145" i="18" s="1"/>
  <c r="N100" i="18"/>
  <c r="N142" i="18" s="1"/>
  <c r="N143" i="18" s="1"/>
  <c r="N96" i="18"/>
  <c r="N195" i="18"/>
  <c r="N196" i="18" s="1"/>
  <c r="N160" i="18"/>
  <c r="N140" i="18"/>
  <c r="N141" i="18"/>
  <c r="M17" i="13"/>
  <c r="E50" i="18"/>
  <c r="E53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E52" i="18"/>
  <c r="E79" i="18" s="1"/>
  <c r="I80" i="18" s="1"/>
  <c r="N48" i="18"/>
  <c r="N32" i="18"/>
  <c r="E34" i="18"/>
  <c r="E37" i="18" s="1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I32" i="18"/>
  <c r="N186" i="18" l="1"/>
  <c r="N187" i="18" s="1"/>
  <c r="N192" i="18"/>
  <c r="N193" i="18" s="1"/>
  <c r="N154" i="18"/>
  <c r="N152" i="18"/>
  <c r="N188" i="18" s="1"/>
  <c r="N161" i="18"/>
  <c r="N197" i="18" s="1"/>
  <c r="N104" i="18"/>
  <c r="N102" i="18" s="1"/>
  <c r="N103" i="18" s="1"/>
  <c r="N155" i="18"/>
  <c r="N191" i="18" s="1"/>
  <c r="N158" i="18"/>
  <c r="N194" i="18" s="1"/>
  <c r="N101" i="18"/>
  <c r="E35" i="18"/>
  <c r="E43" i="18" s="1"/>
  <c r="E39" i="18"/>
  <c r="N80" i="18"/>
  <c r="I48" i="18"/>
  <c r="I5" i="18" s="1"/>
  <c r="E76" i="18" l="1"/>
  <c r="E78" i="18" s="1"/>
  <c r="E88" i="18" s="1"/>
  <c r="E51" i="18"/>
  <c r="E59" i="18" s="1"/>
  <c r="E55" i="18"/>
  <c r="F41" i="18"/>
  <c r="E41" i="18"/>
  <c r="E77" i="18"/>
  <c r="E81" i="18" s="1"/>
  <c r="I75" i="18"/>
  <c r="I8" i="18" s="1"/>
  <c r="N75" i="18"/>
  <c r="F39" i="18"/>
  <c r="G39" i="18" s="1"/>
  <c r="H39" i="18" s="1"/>
  <c r="I39" i="18" s="1"/>
  <c r="J39" i="18" s="1"/>
  <c r="K39" i="18" s="1"/>
  <c r="L39" i="18" s="1"/>
  <c r="M39" i="18" s="1"/>
  <c r="N39" i="18" s="1"/>
  <c r="I40" i="18" l="1"/>
  <c r="I4" i="18" s="1"/>
  <c r="E84" i="18"/>
  <c r="F55" i="18"/>
  <c r="E57" i="18"/>
  <c r="F57" i="18"/>
  <c r="N82" i="18"/>
  <c r="E83" i="18"/>
  <c r="F83" i="18" s="1"/>
  <c r="G83" i="18" s="1"/>
  <c r="H83" i="18" s="1"/>
  <c r="I83" i="18" s="1"/>
  <c r="J83" i="18" s="1"/>
  <c r="K83" i="18" s="1"/>
  <c r="L83" i="18" s="1"/>
  <c r="M83" i="18" s="1"/>
  <c r="N83" i="18" s="1"/>
  <c r="I82" i="18"/>
  <c r="N40" i="18"/>
  <c r="N42" i="18"/>
  <c r="I42" i="18"/>
  <c r="E86" i="18"/>
  <c r="F86" i="18"/>
  <c r="G55" i="18" l="1"/>
  <c r="F84" i="18"/>
  <c r="N87" i="18"/>
  <c r="I87" i="18"/>
  <c r="I58" i="18"/>
  <c r="N58" i="18"/>
  <c r="G84" i="18" l="1"/>
  <c r="H55" i="18"/>
  <c r="I55" i="18" l="1"/>
  <c r="I56" i="18" s="1"/>
  <c r="H84" i="18"/>
  <c r="J55" i="18" l="1"/>
  <c r="I84" i="18"/>
  <c r="J84" i="18" l="1"/>
  <c r="K55" i="18"/>
  <c r="I85" i="18"/>
  <c r="L55" i="18" l="1"/>
  <c r="K84" i="18"/>
  <c r="L84" i="18" l="1"/>
  <c r="M55" i="18"/>
  <c r="N55" i="18" l="1"/>
  <c r="N84" i="18" s="1"/>
  <c r="M84" i="18"/>
  <c r="N56" i="18" l="1"/>
  <c r="N85" i="18"/>
</calcChain>
</file>

<file path=xl/sharedStrings.xml><?xml version="1.0" encoding="utf-8"?>
<sst xmlns="http://schemas.openxmlformats.org/spreadsheetml/2006/main" count="401" uniqueCount="113">
  <si>
    <t>Bitcoin USD Price</t>
  </si>
  <si>
    <t>Bitcoin USD Marketcap</t>
  </si>
  <si>
    <t>Bitcoin USD Price Start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</si>
  <si>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</si>
  <si>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</si>
  <si>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</si>
  <si>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</si>
  <si>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</si>
  <si>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</si>
  <si>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</si>
  <si>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</si>
  <si>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</si>
  <si>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</si>
  <si>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</si>
  <si>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</si>
  <si>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Annual BTC Yield %</t>
  </si>
  <si>
    <t>Bitcoin Growth Yield (BiGY)</t>
  </si>
  <si>
    <t>Bitcoin Transaction Yield (BiTY)</t>
  </si>
  <si>
    <t>Total Yield</t>
  </si>
  <si>
    <t>Annual</t>
  </si>
  <si>
    <t>Bitcoin</t>
  </si>
  <si>
    <t>Test Case</t>
  </si>
  <si>
    <t>Annual Average</t>
  </si>
  <si>
    <t>Bitcoin Compound Annual Growth Rate Calculator</t>
  </si>
  <si>
    <t>Start Price</t>
  </si>
  <si>
    <t>Start Date</t>
  </si>
  <si>
    <t>End Price</t>
  </si>
  <si>
    <t>End Date</t>
  </si>
  <si>
    <t>Bitcoin Yield Estimate Variables</t>
  </si>
  <si>
    <t>Compound Annual Growth Rate</t>
  </si>
  <si>
    <t>Bitcoin Compound Annual Growth Rate (CAGR)</t>
  </si>
  <si>
    <t>Annual Average BTC Yield %</t>
  </si>
  <si>
    <t>USD %</t>
  </si>
  <si>
    <t>BTC %</t>
  </si>
  <si>
    <t>Stable Balancer BTC %</t>
  </si>
  <si>
    <t>Stable Provider BTC %</t>
  </si>
  <si>
    <t>Stable Receiver USD %</t>
  </si>
  <si>
    <t>Stable Receiver / Fiat Investor</t>
  </si>
  <si>
    <t>Stable Provider / Bitcoin Investor</t>
  </si>
  <si>
    <t>Stable Balancer / Lightning Bank</t>
  </si>
  <si>
    <t>Total BTC %</t>
  </si>
  <si>
    <t>BTC</t>
  </si>
  <si>
    <t>USD</t>
  </si>
  <si>
    <t>SR USD Comp.</t>
  </si>
  <si>
    <t>USD
Compounded</t>
  </si>
  <si>
    <t>USD
Simple</t>
  </si>
  <si>
    <t>SP BiGY BTC</t>
  </si>
  <si>
    <t>SP Total BTC</t>
  </si>
  <si>
    <t>SB BiGY BTC</t>
  </si>
  <si>
    <t>SB Total BTC</t>
  </si>
  <si>
    <t>Annual Avg. %</t>
  </si>
  <si>
    <t>Annual Avg.</t>
  </si>
  <si>
    <t>Cumulative</t>
  </si>
  <si>
    <t>Cumulative %</t>
  </si>
  <si>
    <t>Remaining %</t>
  </si>
  <si>
    <t>Annual %</t>
  </si>
  <si>
    <t>Annual Average %</t>
  </si>
  <si>
    <t>Channel Annual %</t>
  </si>
  <si>
    <t>Channel Cumulative %</t>
  </si>
  <si>
    <t>Test Case Annual</t>
  </si>
  <si>
    <t>Test Case Cumulative</t>
  </si>
  <si>
    <t>Test Case Annual Average</t>
  </si>
  <si>
    <t>Price</t>
  </si>
  <si>
    <t>Marketcap</t>
  </si>
  <si>
    <t>Unit of Account</t>
  </si>
  <si>
    <t>Measure</t>
  </si>
  <si>
    <t>Yield Estimate Calculator</t>
  </si>
  <si>
    <t>Bitcoin TVL</t>
  </si>
  <si>
    <t>BTC Measure</t>
  </si>
  <si>
    <t>BTC TVL</t>
  </si>
  <si>
    <t>Bitcoin Yield Estimate 10 Year Burndown Summary</t>
  </si>
  <si>
    <r>
      <t xml:space="preserve">Bitcoin Yield Estimate 5 Year Summary
</t>
    </r>
    <r>
      <rPr>
        <sz val="11"/>
        <rFont val="Aptos Display"/>
        <family val="2"/>
        <scheme val="major"/>
      </rPr>
      <t>Stable Receiver = SR
Stable Provider = SP
Stable Balancer = SB</t>
    </r>
  </si>
  <si>
    <r>
      <t xml:space="preserve">Lightning Bank 5 Year Revenue Summary
</t>
    </r>
    <r>
      <rPr>
        <sz val="11"/>
        <rFont val="Aptos Display"/>
        <family val="2"/>
        <scheme val="major"/>
      </rPr>
      <t>Total Value Locked = TVL</t>
    </r>
  </si>
  <si>
    <t>Bitcoin Loan Yield (BiLY)</t>
  </si>
  <si>
    <t>SB BiLY BTC</t>
  </si>
  <si>
    <t>SB BiTY BTC</t>
  </si>
  <si>
    <t>SP BiTY BTC</t>
  </si>
  <si>
    <r>
      <t xml:space="preserve">Bitcoin Yield Estimate Variables
</t>
    </r>
    <r>
      <rPr>
        <sz val="11"/>
        <rFont val="Aptos Display"/>
        <family val="2"/>
        <scheme val="major"/>
      </rPr>
      <t>Bitcoin Transaction Yield = BiTY
Bitcoin Growth Yield = BiGY
Bitcoin Loan Yield = BiLY</t>
    </r>
  </si>
  <si>
    <t>Annual BiTY %</t>
  </si>
  <si>
    <t>SP Loan BTC</t>
  </si>
  <si>
    <t>SP Annual Loan USD %</t>
  </si>
  <si>
    <t>SP Loan-to-Value %</t>
  </si>
  <si>
    <t>Bitcoin Lightning Bank
The Decentralized Strategy
Pairing Bitcoin Investors with Fiat Investors for Yield Extraction and Leveraged Lending</t>
  </si>
  <si>
    <t>Annual BiGY % (CAGR)</t>
  </si>
  <si>
    <t>Loan Boost Annual %</t>
  </si>
  <si>
    <t>Loan Boost Annual Avg. %</t>
  </si>
  <si>
    <t>Total Annual %</t>
  </si>
  <si>
    <t>Total Annual Average %</t>
  </si>
  <si>
    <t>Bitcoin Investor</t>
  </si>
  <si>
    <t>Fiat Investor</t>
  </si>
  <si>
    <t>Service Provider</t>
  </si>
  <si>
    <t>Bond/Pref-to-Value %</t>
  </si>
  <si>
    <t>Loan-to-Value %</t>
  </si>
  <si>
    <t>Premium 2X</t>
  </si>
  <si>
    <t>Standard 2X</t>
  </si>
  <si>
    <t>Stable Provider</t>
  </si>
  <si>
    <t>Stable Receiver</t>
  </si>
  <si>
    <t>High-Interest Debt</t>
  </si>
  <si>
    <t>Low-Interest Debt</t>
  </si>
  <si>
    <t>Service</t>
  </si>
  <si>
    <t>Bitcoin Lightning Mortgage</t>
  </si>
  <si>
    <t>BTC Principal %</t>
  </si>
  <si>
    <t>BTC Debt %</t>
  </si>
  <si>
    <t>Total Down Payment</t>
  </si>
  <si>
    <t>Total Debt</t>
  </si>
  <si>
    <t>BTC Total</t>
  </si>
  <si>
    <t>BTC Principal</t>
  </si>
  <si>
    <t>BTC Bond/Pref</t>
  </si>
  <si>
    <t>BTC Loan</t>
  </si>
  <si>
    <t>Debt-to-Value %</t>
  </si>
  <si>
    <t>Loan Interest %</t>
  </si>
  <si>
    <t>N/A</t>
  </si>
  <si>
    <t>Service Fee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</si>
</sst>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##0.00,,&quot; M&quot;"/>
    <numFmt numFmtId="165" formatCode="&quot;$&quot;#,##0,&quot; K&quot;"/>
    <numFmt numFmtId="166" formatCode="&quot;$&quot;###0.00,,,,&quot; T&quot;"/>
    <numFmt numFmtId="167" formatCode="&quot;$&quot;#,##0.00"/>
    <numFmt numFmtId="168" formatCode="#,##0,&quot; K&quot;"/>
    <numFmt numFmtId="169" formatCode="###0.0,,&quot; M&quot;"/>
    <numFmt numFmtId="170" formatCode="&quot;$&quot;###0.00,,,&quot; B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8"/>
      <color theme="1"/>
      <name val="Aptos Display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1" tint="0.34998626667073579"/>
      </top>
      <bottom/>
      <diagonal/>
    </border>
    <border>
      <left style="thin">
        <color theme="0"/>
      </left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0"/>
      </right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0"/>
      </right>
      <top/>
      <bottom style="thin">
        <color theme="1" tint="0.34998626667073579"/>
      </bottom>
      <diagonal/>
    </border>
  </borders>
  <cellStyleXfs count="2">
    <xf numFmtId="0" fontId="0" fillId="0" borderId="0"/>
    <xf numFmtId="0" fontId="7" fillId="11" borderId="0" applyNumberFormat="0" applyBorder="0" applyAlignment="0" applyProtection="0"/>
  </cellStyleXfs>
  <cellXfs count="170">
    <xf numFmtId="0" fontId="0" fillId="0" borderId="0" xfId="0"/>
    <xf numFmtId="0" fontId="1" fillId="0" borderId="4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wrapText="1" indent="1"/>
    </xf>
    <xf numFmtId="10" fontId="4" fillId="6" borderId="6" xfId="0" applyNumberFormat="1" applyFont="1" applyFill="1" applyBorder="1" applyAlignment="1">
      <alignment horizontal="left" vertical="center" wrapText="1" indent="1"/>
    </xf>
    <xf numFmtId="10" fontId="4" fillId="6" borderId="5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7" fontId="1" fillId="0" borderId="0" xfId="0" applyNumberFormat="1" applyFont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10" fontId="5" fillId="5" borderId="10" xfId="0" applyNumberFormat="1" applyFont="1" applyFill="1" applyBorder="1" applyAlignment="1">
      <alignment horizontal="left" vertical="center" indent="1"/>
    </xf>
    <xf numFmtId="10" fontId="4" fillId="5" borderId="10" xfId="0" applyNumberFormat="1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6" borderId="12" xfId="0" applyNumberFormat="1" applyFont="1" applyFill="1" applyBorder="1" applyAlignment="1">
      <alignment horizontal="left" vertical="center" indent="1"/>
    </xf>
    <xf numFmtId="165" fontId="1" fillId="6" borderId="12" xfId="0" applyNumberFormat="1" applyFont="1" applyFill="1" applyBorder="1" applyAlignment="1">
      <alignment horizontal="left" vertical="center" indent="1"/>
    </xf>
    <xf numFmtId="165" fontId="1" fillId="0" borderId="12" xfId="0" applyNumberFormat="1" applyFont="1" applyBorder="1" applyAlignment="1">
      <alignment horizontal="left" vertical="center" indent="1"/>
    </xf>
    <xf numFmtId="166" fontId="1" fillId="0" borderId="12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4" fillId="8" borderId="12" xfId="0" applyNumberFormat="1" applyFont="1" applyFill="1" applyBorder="1" applyAlignment="1">
      <alignment horizontal="left" vertical="center" indent="1"/>
    </xf>
    <xf numFmtId="3" fontId="4" fillId="5" borderId="10" xfId="0" applyNumberFormat="1" applyFont="1" applyFill="1" applyBorder="1" applyAlignment="1">
      <alignment horizontal="left" vertical="center" indent="1"/>
    </xf>
    <xf numFmtId="3" fontId="4" fillId="8" borderId="10" xfId="0" applyNumberFormat="1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0" fontId="4" fillId="0" borderId="3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wrapText="1" indent="1"/>
    </xf>
    <xf numFmtId="164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indent="1"/>
    </xf>
    <xf numFmtId="10" fontId="5" fillId="4" borderId="10" xfId="0" applyNumberFormat="1" applyFont="1" applyFill="1" applyBorder="1" applyAlignment="1">
      <alignment horizontal="left" vertical="center" wrapText="1" indent="1"/>
    </xf>
    <xf numFmtId="10" fontId="5" fillId="6" borderId="10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10" fontId="4" fillId="8" borderId="10" xfId="0" applyNumberFormat="1" applyFont="1" applyFill="1" applyBorder="1" applyAlignment="1">
      <alignment horizontal="left" vertical="center" indent="1"/>
    </xf>
    <xf numFmtId="10" fontId="4" fillId="7" borderId="11" xfId="0" applyNumberFormat="1" applyFont="1" applyFill="1" applyBorder="1" applyAlignment="1">
      <alignment horizontal="left" vertical="center" indent="1"/>
    </xf>
    <xf numFmtId="10" fontId="4" fillId="4" borderId="11" xfId="0" applyNumberFormat="1" applyFont="1" applyFill="1" applyBorder="1" applyAlignment="1">
      <alignment horizontal="left" vertical="center" indent="1"/>
    </xf>
    <xf numFmtId="10" fontId="4" fillId="3" borderId="11" xfId="0" applyNumberFormat="1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4" fillId="8" borderId="11" xfId="0" applyNumberFormat="1" applyFont="1" applyFill="1" applyBorder="1" applyAlignment="1">
      <alignment horizontal="left" vertical="center" wrapText="1" indent="1"/>
    </xf>
    <xf numFmtId="10" fontId="4" fillId="8" borderId="20" xfId="0" applyNumberFormat="1" applyFont="1" applyFill="1" applyBorder="1" applyAlignment="1">
      <alignment horizontal="left" vertical="center" wrapText="1" indent="1"/>
    </xf>
    <xf numFmtId="3" fontId="4" fillId="8" borderId="10" xfId="0" applyNumberFormat="1" applyFont="1" applyFill="1" applyBorder="1" applyAlignment="1">
      <alignment horizontal="left" vertical="center" wrapText="1" indent="1"/>
    </xf>
    <xf numFmtId="3" fontId="4" fillId="8" borderId="11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indent="1"/>
    </xf>
    <xf numFmtId="10" fontId="5" fillId="3" borderId="0" xfId="0" applyNumberFormat="1" applyFont="1" applyFill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22" xfId="0" applyNumberFormat="1" applyFont="1" applyBorder="1" applyAlignment="1">
      <alignment horizontal="left" vertical="center" indent="1"/>
    </xf>
    <xf numFmtId="164" fontId="1" fillId="0" borderId="23" xfId="0" applyNumberFormat="1" applyFont="1" applyBorder="1" applyAlignment="1">
      <alignment horizontal="left" vertical="center" indent="1"/>
    </xf>
    <xf numFmtId="166" fontId="1" fillId="0" borderId="22" xfId="0" applyNumberFormat="1" applyFont="1" applyBorder="1" applyAlignment="1">
      <alignment horizontal="left" vertical="center" indent="1"/>
    </xf>
    <xf numFmtId="166" fontId="1" fillId="0" borderId="23" xfId="0" applyNumberFormat="1" applyFont="1" applyBorder="1" applyAlignment="1">
      <alignment horizontal="left" vertical="center" indent="1"/>
    </xf>
    <xf numFmtId="10" fontId="5" fillId="5" borderId="21" xfId="0" applyNumberFormat="1" applyFont="1" applyFill="1" applyBorder="1" applyAlignment="1">
      <alignment horizontal="left" vertical="center" indent="1"/>
    </xf>
    <xf numFmtId="10" fontId="5" fillId="8" borderId="21" xfId="0" applyNumberFormat="1" applyFont="1" applyFill="1" applyBorder="1" applyAlignment="1">
      <alignment horizontal="left" vertical="center" indent="1"/>
    </xf>
    <xf numFmtId="10" fontId="1" fillId="0" borderId="22" xfId="0" applyNumberFormat="1" applyFont="1" applyBorder="1" applyAlignment="1">
      <alignment horizontal="left" vertical="center" indent="1"/>
    </xf>
    <xf numFmtId="10" fontId="1" fillId="0" borderId="23" xfId="0" applyNumberFormat="1" applyFont="1" applyBorder="1" applyAlignment="1">
      <alignment horizontal="left" vertical="center" indent="1"/>
    </xf>
    <xf numFmtId="10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5" fillId="5" borderId="25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wrapText="1" indent="1"/>
    </xf>
    <xf numFmtId="10" fontId="4" fillId="7" borderId="12" xfId="0" applyNumberFormat="1" applyFont="1" applyFill="1" applyBorder="1" applyAlignment="1">
      <alignment vertical="center" wrapText="1"/>
    </xf>
    <xf numFmtId="10" fontId="4" fillId="6" borderId="12" xfId="0" applyNumberFormat="1" applyFont="1" applyFill="1" applyBorder="1" applyAlignment="1">
      <alignment horizontal="left" vertical="center" wrapText="1" indent="1"/>
    </xf>
    <xf numFmtId="10" fontId="4" fillId="6" borderId="0" xfId="0" applyNumberFormat="1" applyFont="1" applyFill="1" applyAlignment="1">
      <alignment horizontal="left" vertical="center" wrapText="1" indent="1"/>
    </xf>
    <xf numFmtId="0" fontId="1" fillId="0" borderId="27" xfId="0" applyFont="1" applyBorder="1" applyAlignment="1">
      <alignment horizontal="left" vertical="center" indent="1"/>
    </xf>
    <xf numFmtId="0" fontId="4" fillId="10" borderId="11" xfId="0" applyFont="1" applyFill="1" applyBorder="1" applyAlignment="1">
      <alignment horizontal="left" vertical="center" indent="1"/>
    </xf>
    <xf numFmtId="170" fontId="8" fillId="11" borderId="11" xfId="1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wrapText="1" indent="1"/>
    </xf>
    <xf numFmtId="168" fontId="3" fillId="0" borderId="12" xfId="0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7" fontId="4" fillId="4" borderId="12" xfId="0" applyNumberFormat="1" applyFont="1" applyFill="1" applyBorder="1" applyAlignment="1">
      <alignment horizontal="left" vertical="center" indent="1"/>
    </xf>
    <xf numFmtId="14" fontId="4" fillId="4" borderId="12" xfId="0" applyNumberFormat="1" applyFont="1" applyFill="1" applyBorder="1" applyAlignment="1">
      <alignment horizontal="left" vertical="center" wrapText="1" indent="1"/>
    </xf>
    <xf numFmtId="10" fontId="4" fillId="10" borderId="9" xfId="0" applyNumberFormat="1" applyFont="1" applyFill="1" applyBorder="1" applyAlignment="1">
      <alignment horizontal="left" vertical="center" indent="1"/>
    </xf>
    <xf numFmtId="10" fontId="4" fillId="10" borderId="0" xfId="0" applyNumberFormat="1" applyFont="1" applyFill="1" applyAlignment="1">
      <alignment vertical="center"/>
    </xf>
    <xf numFmtId="169" fontId="3" fillId="0" borderId="4" xfId="0" applyNumberFormat="1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169" fontId="5" fillId="0" borderId="12" xfId="0" applyNumberFormat="1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3" fontId="4" fillId="5" borderId="12" xfId="0" applyNumberFormat="1" applyFont="1" applyFill="1" applyBorder="1" applyAlignment="1">
      <alignment horizontal="left" vertical="center" indent="1"/>
    </xf>
    <xf numFmtId="10" fontId="4" fillId="12" borderId="11" xfId="0" applyNumberFormat="1" applyFont="1" applyFill="1" applyBorder="1" applyAlignment="1">
      <alignment horizontal="left" vertical="center" wrapText="1" indent="1"/>
    </xf>
    <xf numFmtId="10" fontId="4" fillId="12" borderId="20" xfId="0" applyNumberFormat="1" applyFont="1" applyFill="1" applyBorder="1" applyAlignment="1">
      <alignment horizontal="left" vertical="center" wrapText="1" indent="1"/>
    </xf>
    <xf numFmtId="10" fontId="5" fillId="12" borderId="10" xfId="0" applyNumberFormat="1" applyFont="1" applyFill="1" applyBorder="1" applyAlignment="1">
      <alignment horizontal="left" vertical="center" indent="1"/>
    </xf>
    <xf numFmtId="10" fontId="4" fillId="12" borderId="10" xfId="0" applyNumberFormat="1" applyFont="1" applyFill="1" applyBorder="1" applyAlignment="1">
      <alignment horizontal="left" vertical="center" indent="1"/>
    </xf>
    <xf numFmtId="0" fontId="4" fillId="5" borderId="25" xfId="0" applyFont="1" applyFill="1" applyBorder="1" applyAlignment="1">
      <alignment horizontal="left" vertical="center" indent="1"/>
    </xf>
    <xf numFmtId="0" fontId="4" fillId="5" borderId="21" xfId="0" applyFont="1" applyFill="1" applyBorder="1" applyAlignment="1">
      <alignment horizontal="left" vertical="center" indent="1"/>
    </xf>
    <xf numFmtId="10" fontId="4" fillId="5" borderId="21" xfId="0" applyNumberFormat="1" applyFont="1" applyFill="1" applyBorder="1" applyAlignment="1">
      <alignment horizontal="left" vertical="center" indent="1"/>
    </xf>
    <xf numFmtId="10" fontId="4" fillId="5" borderId="22" xfId="0" applyNumberFormat="1" applyFont="1" applyFill="1" applyBorder="1" applyAlignment="1">
      <alignment horizontal="left" vertical="center" indent="1"/>
    </xf>
    <xf numFmtId="0" fontId="1" fillId="0" borderId="23" xfId="0" applyFont="1" applyBorder="1" applyAlignment="1">
      <alignment horizontal="left" vertical="center" indent="1"/>
    </xf>
    <xf numFmtId="10" fontId="1" fillId="0" borderId="3" xfId="0" applyNumberFormat="1" applyFont="1" applyBorder="1" applyAlignment="1">
      <alignment horizontal="left" vertical="center" indent="1"/>
    </xf>
    <xf numFmtId="0" fontId="4" fillId="13" borderId="25" xfId="0" applyFont="1" applyFill="1" applyBorder="1" applyAlignment="1">
      <alignment horizontal="left" vertical="center" indent="1"/>
    </xf>
    <xf numFmtId="0" fontId="4" fillId="13" borderId="21" xfId="0" applyFont="1" applyFill="1" applyBorder="1" applyAlignment="1">
      <alignment horizontal="left" vertical="center" indent="1"/>
    </xf>
    <xf numFmtId="0" fontId="4" fillId="13" borderId="22" xfId="0" applyFont="1" applyFill="1" applyBorder="1" applyAlignment="1">
      <alignment horizontal="left" vertical="center" indent="1"/>
    </xf>
    <xf numFmtId="0" fontId="1" fillId="0" borderId="25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0" fontId="1" fillId="0" borderId="21" xfId="0" applyNumberFormat="1" applyFont="1" applyBorder="1" applyAlignment="1">
      <alignment horizontal="left" vertical="center" indent="1"/>
    </xf>
    <xf numFmtId="0" fontId="4" fillId="10" borderId="30" xfId="0" applyFont="1" applyFill="1" applyBorder="1" applyAlignment="1">
      <alignment horizontal="left" vertical="center" indent="1"/>
    </xf>
    <xf numFmtId="0" fontId="4" fillId="4" borderId="30" xfId="0" applyFont="1" applyFill="1" applyBorder="1" applyAlignment="1">
      <alignment horizontal="left" vertical="center" indent="1"/>
    </xf>
    <xf numFmtId="0" fontId="4" fillId="7" borderId="30" xfId="0" applyFont="1" applyFill="1" applyBorder="1" applyAlignment="1">
      <alignment horizontal="left" vertical="center" indent="1"/>
    </xf>
    <xf numFmtId="0" fontId="4" fillId="4" borderId="31" xfId="0" applyFont="1" applyFill="1" applyBorder="1" applyAlignment="1">
      <alignment horizontal="left" vertical="center" indent="1"/>
    </xf>
    <xf numFmtId="0" fontId="4" fillId="10" borderId="32" xfId="0" applyFont="1" applyFill="1" applyBorder="1" applyAlignment="1">
      <alignment horizontal="left" vertical="center" indent="1"/>
    </xf>
    <xf numFmtId="0" fontId="4" fillId="4" borderId="32" xfId="0" applyFont="1" applyFill="1" applyBorder="1" applyAlignment="1">
      <alignment horizontal="left" vertical="center" indent="1"/>
    </xf>
    <xf numFmtId="0" fontId="4" fillId="7" borderId="32" xfId="0" applyFont="1" applyFill="1" applyBorder="1" applyAlignment="1">
      <alignment horizontal="left" vertical="center" indent="1"/>
    </xf>
    <xf numFmtId="0" fontId="4" fillId="4" borderId="33" xfId="0" applyFont="1" applyFill="1" applyBorder="1" applyAlignment="1">
      <alignment horizontal="left" vertical="center" indent="1"/>
    </xf>
    <xf numFmtId="0" fontId="6" fillId="2" borderId="19" xfId="0" applyFont="1" applyFill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2" borderId="26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0" borderId="7" xfId="0" applyFont="1" applyFill="1" applyBorder="1" applyAlignment="1">
      <alignment horizontal="left" vertical="center" indent="1"/>
    </xf>
    <xf numFmtId="0" fontId="5" fillId="10" borderId="11" xfId="0" applyFont="1" applyFill="1" applyBorder="1" applyAlignment="1">
      <alignment horizontal="left" vertical="center" indent="1"/>
    </xf>
    <xf numFmtId="0" fontId="5" fillId="10" borderId="20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1" xfId="0" applyFont="1" applyFill="1" applyBorder="1" applyAlignment="1">
      <alignment horizontal="left" vertical="center" wrapText="1" indent="1"/>
    </xf>
    <xf numFmtId="0" fontId="5" fillId="10" borderId="0" xfId="0" applyFont="1" applyFill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indent="1"/>
    </xf>
    <xf numFmtId="0" fontId="4" fillId="9" borderId="18" xfId="0" applyFont="1" applyFill="1" applyBorder="1" applyAlignment="1">
      <alignment horizontal="left" vertical="center" indent="1"/>
    </xf>
    <xf numFmtId="0" fontId="4" fillId="9" borderId="11" xfId="0" applyFont="1" applyFill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wrapText="1" indent="1"/>
    </xf>
    <xf numFmtId="0" fontId="4" fillId="7" borderId="18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68" fontId="1" fillId="0" borderId="15" xfId="0" applyNumberFormat="1" applyFont="1" applyBorder="1" applyAlignment="1">
      <alignment horizontal="left" vertical="center" indent="1"/>
    </xf>
    <xf numFmtId="168" fontId="1" fillId="0" borderId="12" xfId="0" applyNumberFormat="1" applyFont="1" applyBorder="1" applyAlignment="1">
      <alignment horizontal="left" vertical="center" indent="1"/>
    </xf>
    <xf numFmtId="169" fontId="4" fillId="5" borderId="10" xfId="0" applyNumberFormat="1" applyFont="1" applyFill="1" applyBorder="1" applyAlignment="1">
      <alignment horizontal="left" vertical="center" indent="1"/>
    </xf>
    <xf numFmtId="0" fontId="5" fillId="10" borderId="0" xfId="0" applyFont="1" applyFill="1" applyAlignment="1">
      <alignment horizontal="left" vertical="center" indent="1"/>
    </xf>
    <xf numFmtId="9" fontId="9" fillId="0" borderId="4" xfId="0" applyNumberFormat="1" applyFont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  <xf numFmtId="0" fontId="4" fillId="10" borderId="30" xfId="0" applyFont="1" applyFill="1" applyBorder="1" applyAlignment="1">
      <alignment horizontal="left" vertical="center" indent="1"/>
    </xf>
    <xf numFmtId="0" fontId="4" fillId="10" borderId="32" xfId="0" applyFont="1" applyFill="1" applyBorder="1" applyAlignment="1">
      <alignment horizontal="left" vertical="center" indent="1"/>
    </xf>
    <xf numFmtId="0" fontId="4" fillId="10" borderId="28" xfId="0" applyFont="1" applyFill="1" applyBorder="1" applyAlignment="1">
      <alignment horizontal="left" vertical="center" indent="1"/>
    </xf>
    <xf numFmtId="0" fontId="4" fillId="10" borderId="29" xfId="0" applyFont="1" applyFill="1" applyBorder="1" applyAlignment="1">
      <alignment horizontal="left" vertical="center" indent="1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2518-B1E3-498F-8277-B5D0DA9C220D}">
  <dimension ref="A1:R199"/>
  <sheetViews>
    <sheetView tabSelected="1" zoomScaleNormal="100" workbookViewId="0">
      <selection activeCell="B2" sqref="B2:C12"/>
    </sheetView>
  </sheetViews>
  <sheetFormatPr defaultRowHeight="15" customHeight="1" x14ac:dyDescent="0.45"/>
  <cols>
    <col min="1" max="1" width="1.73046875" style="5" customWidth="1"/>
    <col min="2" max="2" width="29.19921875" style="2" bestFit="1" customWidth="1"/>
    <col min="3" max="3" width="15.06640625" style="2" bestFit="1" customWidth="1"/>
    <col min="4" max="4" width="22.265625" style="2" bestFit="1" customWidth="1"/>
    <col min="5" max="14" width="13.6640625" style="2" customWidth="1"/>
    <col min="15" max="15" width="1.73046875" style="5" customWidth="1"/>
    <col min="16" max="16" width="14.46484375" style="2" customWidth="1"/>
    <col min="17" max="17" width="1.53125" style="2" customWidth="1"/>
    <col min="18" max="18" width="14.86328125" style="2" bestFit="1" customWidth="1"/>
    <col min="19" max="19" width="9.06640625" style="2" customWidth="1"/>
    <col min="20" max="16384" width="9.06640625" style="2"/>
  </cols>
  <sheetData>
    <row r="1" spans="1:15" ht="1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78"/>
      <c r="L1" s="78"/>
      <c r="M1" s="78"/>
      <c r="N1" s="78"/>
    </row>
    <row r="2" spans="1:15" ht="60" customHeight="1" x14ac:dyDescent="0.45">
      <c r="A2" s="9"/>
      <c r="B2" s="124" t="s">
        <v>82</v>
      </c>
      <c r="C2" s="125"/>
      <c r="D2" s="130" t="s">
        <v>77</v>
      </c>
      <c r="E2" s="131"/>
      <c r="F2" s="9"/>
      <c r="G2" s="134" t="s">
        <v>71</v>
      </c>
      <c r="H2" s="130"/>
      <c r="I2" s="130"/>
      <c r="J2" s="5"/>
      <c r="K2" s="137" t="s">
        <v>72</v>
      </c>
      <c r="L2" s="137"/>
      <c r="M2" s="137"/>
      <c r="N2" s="137"/>
    </row>
    <row r="3" spans="1:15" ht="15" customHeight="1" x14ac:dyDescent="0.45">
      <c r="A3" s="9"/>
      <c r="B3" s="126"/>
      <c r="C3" s="127"/>
      <c r="D3" s="132"/>
      <c r="E3" s="133"/>
      <c r="F3" s="9"/>
      <c r="G3" s="135"/>
      <c r="H3" s="136"/>
      <c r="I3" s="136"/>
      <c r="J3" s="5"/>
      <c r="K3" s="79" t="s">
        <v>67</v>
      </c>
      <c r="L3" s="79" t="s">
        <v>65</v>
      </c>
      <c r="M3" s="79" t="s">
        <v>41</v>
      </c>
      <c r="N3" s="79" t="s">
        <v>42</v>
      </c>
      <c r="O3" s="10"/>
    </row>
    <row r="4" spans="1:15" ht="15" customHeight="1" x14ac:dyDescent="0.45">
      <c r="A4" s="10"/>
      <c r="B4" s="126"/>
      <c r="C4" s="127"/>
      <c r="D4" s="37" t="s">
        <v>2</v>
      </c>
      <c r="E4" s="38">
        <v>100000</v>
      </c>
      <c r="F4" s="10"/>
      <c r="G4" s="94" t="s">
        <v>43</v>
      </c>
      <c r="H4" s="93" t="s">
        <v>50</v>
      </c>
      <c r="I4" s="49">
        <f>I40</f>
        <v>0.38309599999999999</v>
      </c>
      <c r="J4" s="10"/>
      <c r="K4" s="84">
        <f>C150</f>
        <v>20000</v>
      </c>
      <c r="L4" s="85" t="s">
        <v>51</v>
      </c>
      <c r="M4" s="52">
        <f>I187</f>
        <v>1402.1532694710536</v>
      </c>
      <c r="N4" s="80">
        <f t="shared" ref="N4:N11" si="0">M4*$I$16</f>
        <v>754111679.99999988</v>
      </c>
      <c r="O4" s="10"/>
    </row>
    <row r="5" spans="1:15" ht="15" customHeight="1" x14ac:dyDescent="0.45">
      <c r="A5" s="43"/>
      <c r="B5" s="126"/>
      <c r="C5" s="127"/>
      <c r="D5" s="20" t="s">
        <v>78</v>
      </c>
      <c r="E5" s="39">
        <v>0.01</v>
      </c>
      <c r="F5" s="43"/>
      <c r="G5" s="60" t="s">
        <v>46</v>
      </c>
      <c r="H5" s="81" t="s">
        <v>50</v>
      </c>
      <c r="I5" s="100">
        <f>I48</f>
        <v>0.15670762182423986</v>
      </c>
      <c r="J5" s="43"/>
      <c r="K5" s="84">
        <f>C150</f>
        <v>20000</v>
      </c>
      <c r="L5" s="82" t="s">
        <v>52</v>
      </c>
      <c r="M5" s="52">
        <f>I188</f>
        <v>7010.7663473552693</v>
      </c>
      <c r="N5" s="80">
        <f t="shared" si="0"/>
        <v>3770558400.0000005</v>
      </c>
      <c r="O5" s="43"/>
    </row>
    <row r="6" spans="1:15" ht="15" customHeight="1" x14ac:dyDescent="0.45">
      <c r="A6" s="43"/>
      <c r="B6" s="126"/>
      <c r="C6" s="127"/>
      <c r="D6" s="20" t="s">
        <v>83</v>
      </c>
      <c r="E6" s="40">
        <v>0.4</v>
      </c>
      <c r="F6" s="43"/>
      <c r="G6" s="60" t="s">
        <v>76</v>
      </c>
      <c r="H6" s="81" t="s">
        <v>50</v>
      </c>
      <c r="I6" s="100">
        <f>I60</f>
        <v>2.7999999999999997E-2</v>
      </c>
      <c r="J6" s="43"/>
      <c r="K6" s="84">
        <f>C153</f>
        <v>400000</v>
      </c>
      <c r="L6" s="85" t="s">
        <v>51</v>
      </c>
      <c r="M6" s="32">
        <f>I190</f>
        <v>28043.06538942107</v>
      </c>
      <c r="N6" s="80">
        <f t="shared" si="0"/>
        <v>15082233599.999998</v>
      </c>
      <c r="O6" s="43"/>
    </row>
    <row r="7" spans="1:15" ht="15" customHeight="1" x14ac:dyDescent="0.45">
      <c r="A7" s="10"/>
      <c r="B7" s="126"/>
      <c r="C7" s="127"/>
      <c r="D7" s="37" t="s">
        <v>36</v>
      </c>
      <c r="E7" s="41">
        <v>0.17499999999999999</v>
      </c>
      <c r="F7" s="10"/>
      <c r="G7" s="60" t="s">
        <v>79</v>
      </c>
      <c r="H7" s="81" t="s">
        <v>50</v>
      </c>
      <c r="I7" s="100">
        <f>-I120</f>
        <v>-3.0527458796929852E-2</v>
      </c>
      <c r="J7" s="10"/>
      <c r="K7" s="84">
        <f>C153</f>
        <v>400000</v>
      </c>
      <c r="L7" s="82" t="s">
        <v>52</v>
      </c>
      <c r="M7" s="52">
        <f>I191</f>
        <v>140215.32694710538</v>
      </c>
      <c r="N7" s="80">
        <f t="shared" si="0"/>
        <v>75411168000</v>
      </c>
      <c r="O7" s="10"/>
    </row>
    <row r="8" spans="1:15" ht="15" customHeight="1" x14ac:dyDescent="0.45">
      <c r="A8" s="10"/>
      <c r="B8" s="126"/>
      <c r="C8" s="127"/>
      <c r="D8" s="37" t="s">
        <v>35</v>
      </c>
      <c r="E8" s="41">
        <v>0.7</v>
      </c>
      <c r="F8" s="10"/>
      <c r="G8" s="92" t="s">
        <v>47</v>
      </c>
      <c r="H8" s="93" t="s">
        <v>50</v>
      </c>
      <c r="I8" s="49">
        <f>I75</f>
        <v>0.15418016302731002</v>
      </c>
      <c r="J8" s="10"/>
      <c r="K8" s="95">
        <f>C192</f>
        <v>1000000</v>
      </c>
      <c r="L8" s="96" t="s">
        <v>51</v>
      </c>
      <c r="M8" s="52">
        <f>I193</f>
        <v>70107.66347355269</v>
      </c>
      <c r="N8" s="80">
        <f t="shared" si="0"/>
        <v>37705584000</v>
      </c>
      <c r="O8" s="10"/>
    </row>
    <row r="9" spans="1:15" ht="15" customHeight="1" x14ac:dyDescent="0.45">
      <c r="A9" s="10"/>
      <c r="B9" s="126"/>
      <c r="C9" s="127"/>
      <c r="D9" s="37" t="s">
        <v>34</v>
      </c>
      <c r="E9" s="41">
        <v>0.3</v>
      </c>
      <c r="F9" s="10"/>
      <c r="G9" s="60" t="s">
        <v>48</v>
      </c>
      <c r="H9" s="81" t="s">
        <v>50</v>
      </c>
      <c r="I9" s="101">
        <f>I93</f>
        <v>9.7687868150175508E-2</v>
      </c>
      <c r="J9" s="9"/>
      <c r="K9" s="95">
        <f>C156</f>
        <v>1000000</v>
      </c>
      <c r="L9" s="97" t="s">
        <v>52</v>
      </c>
      <c r="M9" s="51">
        <f>I194</f>
        <v>350538.31736776343</v>
      </c>
      <c r="N9" s="80">
        <f t="shared" si="0"/>
        <v>188527920000</v>
      </c>
      <c r="O9" s="10"/>
    </row>
    <row r="10" spans="1:15" ht="15" customHeight="1" x14ac:dyDescent="0.45">
      <c r="A10" s="10"/>
      <c r="B10" s="126"/>
      <c r="C10" s="127"/>
      <c r="D10" s="37" t="s">
        <v>40</v>
      </c>
      <c r="E10" s="42">
        <f>SUM(E8:E9)</f>
        <v>1</v>
      </c>
      <c r="F10" s="4"/>
      <c r="G10" s="83" t="s">
        <v>75</v>
      </c>
      <c r="H10" s="81" t="s">
        <v>50</v>
      </c>
      <c r="I10" s="101">
        <f>I105</f>
        <v>1.2E-2</v>
      </c>
      <c r="J10" s="9"/>
      <c r="K10" s="95">
        <f>C159</f>
        <v>2100000</v>
      </c>
      <c r="L10" s="96" t="s">
        <v>51</v>
      </c>
      <c r="M10" s="52">
        <f>I196</f>
        <v>147226.09329446065</v>
      </c>
      <c r="N10" s="80">
        <f t="shared" si="0"/>
        <v>79181726400</v>
      </c>
      <c r="O10" s="10"/>
    </row>
    <row r="11" spans="1:15" ht="15" customHeight="1" x14ac:dyDescent="0.45">
      <c r="A11" s="10"/>
      <c r="B11" s="126"/>
      <c r="C11" s="127"/>
      <c r="D11" s="37" t="s">
        <v>80</v>
      </c>
      <c r="E11" s="41">
        <v>7.4999999999999997E-2</v>
      </c>
      <c r="F11" s="4"/>
      <c r="G11" s="83" t="s">
        <v>74</v>
      </c>
      <c r="H11" s="81" t="s">
        <v>50</v>
      </c>
      <c r="I11" s="101">
        <f>I120</f>
        <v>3.0527458796929852E-2</v>
      </c>
      <c r="J11" s="9"/>
      <c r="K11" s="95">
        <f>C159</f>
        <v>2100000</v>
      </c>
      <c r="L11" s="97" t="s">
        <v>52</v>
      </c>
      <c r="M11" s="52">
        <f>I197</f>
        <v>736130.46647230326</v>
      </c>
      <c r="N11" s="80">
        <f t="shared" si="0"/>
        <v>395908632000</v>
      </c>
      <c r="O11" s="10"/>
    </row>
    <row r="12" spans="1:15" ht="15" customHeight="1" x14ac:dyDescent="0.45">
      <c r="A12" s="10"/>
      <c r="B12" s="128"/>
      <c r="C12" s="129"/>
      <c r="D12" s="37" t="s">
        <v>81</v>
      </c>
      <c r="E12" s="41">
        <v>1</v>
      </c>
      <c r="F12" s="4"/>
      <c r="G12" s="92" t="s">
        <v>49</v>
      </c>
      <c r="H12" s="93" t="s">
        <v>50</v>
      </c>
      <c r="I12" s="50">
        <f>I133</f>
        <v>0.14021532694710537</v>
      </c>
      <c r="J12" s="9"/>
      <c r="K12" s="90"/>
      <c r="L12" s="91"/>
      <c r="M12" s="90"/>
      <c r="N12" s="91"/>
      <c r="O12" s="90"/>
    </row>
    <row r="13" spans="1:15" ht="15" customHeight="1" x14ac:dyDescent="0.45">
      <c r="A13" s="9"/>
      <c r="B13" s="11"/>
      <c r="C13" s="9"/>
      <c r="D13" s="11"/>
      <c r="E13" s="4"/>
      <c r="F13" s="4"/>
      <c r="G13" s="11"/>
      <c r="H13" s="11"/>
      <c r="I13" s="4"/>
      <c r="J13" s="9"/>
      <c r="K13" s="9"/>
      <c r="L13" s="9"/>
      <c r="M13" s="9"/>
      <c r="N13" s="9"/>
      <c r="O13" s="9"/>
    </row>
    <row r="14" spans="1:15" ht="15" customHeight="1" x14ac:dyDescent="0.45">
      <c r="B14" s="138" t="s">
        <v>66</v>
      </c>
      <c r="C14" s="138" t="s">
        <v>64</v>
      </c>
      <c r="D14" s="138" t="s">
        <v>65</v>
      </c>
      <c r="E14" s="139" t="s">
        <v>3</v>
      </c>
      <c r="F14" s="139" t="s">
        <v>4</v>
      </c>
      <c r="G14" s="139" t="s">
        <v>5</v>
      </c>
      <c r="H14" s="139" t="s">
        <v>6</v>
      </c>
      <c r="I14" s="139" t="s">
        <v>7</v>
      </c>
      <c r="J14" s="139" t="s">
        <v>8</v>
      </c>
      <c r="K14" s="139" t="s">
        <v>9</v>
      </c>
      <c r="L14" s="139" t="s">
        <v>10</v>
      </c>
      <c r="M14" s="139" t="s">
        <v>11</v>
      </c>
      <c r="N14" s="139" t="s">
        <v>12</v>
      </c>
    </row>
    <row r="15" spans="1:15" ht="15" customHeight="1" x14ac:dyDescent="0.45">
      <c r="B15" s="132"/>
      <c r="C15" s="132"/>
      <c r="D15" s="132"/>
      <c r="E15" s="140"/>
      <c r="F15" s="140"/>
      <c r="G15" s="140"/>
      <c r="H15" s="140"/>
      <c r="I15" s="140"/>
      <c r="J15" s="140"/>
      <c r="K15" s="140"/>
      <c r="L15" s="140"/>
      <c r="M15" s="140"/>
      <c r="N15" s="140"/>
    </row>
    <row r="16" spans="1:15" ht="15" customHeight="1" x14ac:dyDescent="0.45">
      <c r="B16" s="141" t="s">
        <v>20</v>
      </c>
      <c r="C16" s="141" t="s">
        <v>42</v>
      </c>
      <c r="D16" s="21" t="s">
        <v>62</v>
      </c>
      <c r="E16" s="23">
        <f>($E$4 * $E$6) + $E$4</f>
        <v>140000</v>
      </c>
      <c r="F16" s="23">
        <f t="shared" ref="F16:N16" si="1">(E16 * $E$6) + E16</f>
        <v>196000</v>
      </c>
      <c r="G16" s="23">
        <f t="shared" si="1"/>
        <v>274400</v>
      </c>
      <c r="H16" s="23">
        <f t="shared" si="1"/>
        <v>384160</v>
      </c>
      <c r="I16" s="23">
        <f t="shared" si="1"/>
        <v>537824</v>
      </c>
      <c r="J16" s="23">
        <f t="shared" si="1"/>
        <v>752953.6</v>
      </c>
      <c r="K16" s="23">
        <f t="shared" si="1"/>
        <v>1054135.04</v>
      </c>
      <c r="L16" s="23">
        <f t="shared" si="1"/>
        <v>1475789.0560000001</v>
      </c>
      <c r="M16" s="23">
        <f t="shared" si="1"/>
        <v>2066104.6784000001</v>
      </c>
      <c r="N16" s="23">
        <f t="shared" si="1"/>
        <v>2892546.5497600003</v>
      </c>
    </row>
    <row r="17" spans="1:15" ht="15" customHeight="1" x14ac:dyDescent="0.45">
      <c r="B17" s="142"/>
      <c r="C17" s="142"/>
      <c r="D17" s="21" t="s">
        <v>63</v>
      </c>
      <c r="E17" s="27">
        <f>E16*21000000</f>
        <v>2940000000000</v>
      </c>
      <c r="F17" s="27">
        <f t="shared" ref="F17:N17" si="2">F16*21000000</f>
        <v>4116000000000</v>
      </c>
      <c r="G17" s="27">
        <f t="shared" si="2"/>
        <v>5762400000000</v>
      </c>
      <c r="H17" s="27">
        <f t="shared" si="2"/>
        <v>8067360000000</v>
      </c>
      <c r="I17" s="27">
        <f t="shared" si="2"/>
        <v>11294304000000</v>
      </c>
      <c r="J17" s="27">
        <f t="shared" si="2"/>
        <v>15812025600000</v>
      </c>
      <c r="K17" s="27">
        <f t="shared" si="2"/>
        <v>22136835840000</v>
      </c>
      <c r="L17" s="27">
        <f t="shared" si="2"/>
        <v>30991570176000.004</v>
      </c>
      <c r="M17" s="27">
        <f t="shared" si="2"/>
        <v>43388198246400</v>
      </c>
      <c r="N17" s="27">
        <f t="shared" si="2"/>
        <v>60743477544960.008</v>
      </c>
    </row>
    <row r="18" spans="1:15" ht="15" customHeight="1" x14ac:dyDescent="0.45">
      <c r="B18" s="141" t="s">
        <v>16</v>
      </c>
      <c r="C18" s="143" t="s">
        <v>41</v>
      </c>
      <c r="D18" s="21" t="s">
        <v>53</v>
      </c>
      <c r="E18" s="28">
        <f t="shared" ref="E18:N18" si="3">(E16-$E$4)/E16</f>
        <v>0.2857142857142857</v>
      </c>
      <c r="F18" s="28">
        <f t="shared" si="3"/>
        <v>0.48979591836734693</v>
      </c>
      <c r="G18" s="28">
        <f t="shared" si="3"/>
        <v>0.63556851311953355</v>
      </c>
      <c r="H18" s="28">
        <f t="shared" si="3"/>
        <v>0.73969179508538108</v>
      </c>
      <c r="I18" s="28">
        <f t="shared" si="3"/>
        <v>0.81406556791812934</v>
      </c>
      <c r="J18" s="28">
        <f t="shared" si="3"/>
        <v>0.86718969137009239</v>
      </c>
      <c r="K18" s="28">
        <f t="shared" si="3"/>
        <v>0.90513549383578029</v>
      </c>
      <c r="L18" s="28">
        <f t="shared" si="3"/>
        <v>0.93223963845412883</v>
      </c>
      <c r="M18" s="28">
        <f t="shared" si="3"/>
        <v>0.95159974175294915</v>
      </c>
      <c r="N18" s="28">
        <f t="shared" si="3"/>
        <v>0.96542838696639222</v>
      </c>
    </row>
    <row r="19" spans="1:15" ht="15" customHeight="1" x14ac:dyDescent="0.45">
      <c r="B19" s="145"/>
      <c r="C19" s="146"/>
      <c r="D19" s="21" t="s">
        <v>54</v>
      </c>
      <c r="E19" s="28">
        <f>1-E18</f>
        <v>0.7142857142857143</v>
      </c>
      <c r="F19" s="28">
        <f t="shared" ref="F19:N19" si="4">1-F18</f>
        <v>0.51020408163265307</v>
      </c>
      <c r="G19" s="28">
        <f t="shared" si="4"/>
        <v>0.36443148688046645</v>
      </c>
      <c r="H19" s="28">
        <f t="shared" si="4"/>
        <v>0.26030820491461892</v>
      </c>
      <c r="I19" s="28">
        <f t="shared" si="4"/>
        <v>0.18593443208187066</v>
      </c>
      <c r="J19" s="28">
        <f t="shared" si="4"/>
        <v>0.13281030862990761</v>
      </c>
      <c r="K19" s="28">
        <f t="shared" si="4"/>
        <v>9.4864506164219708E-2</v>
      </c>
      <c r="L19" s="28">
        <f t="shared" si="4"/>
        <v>6.7760361545871173E-2</v>
      </c>
      <c r="M19" s="28">
        <f t="shared" si="4"/>
        <v>4.8400258247050854E-2</v>
      </c>
      <c r="N19" s="28">
        <f t="shared" si="4"/>
        <v>3.4571613033607784E-2</v>
      </c>
    </row>
    <row r="20" spans="1:15" ht="15" customHeight="1" x14ac:dyDescent="0.45">
      <c r="B20" s="145"/>
      <c r="C20" s="146"/>
      <c r="D20" s="21" t="s">
        <v>55</v>
      </c>
      <c r="E20" s="98">
        <f>E18</f>
        <v>0.2857142857142857</v>
      </c>
      <c r="F20" s="98">
        <f t="shared" ref="F20:N20" si="5">F18-E18</f>
        <v>0.20408163265306123</v>
      </c>
      <c r="G20" s="98">
        <f t="shared" si="5"/>
        <v>0.14577259475218662</v>
      </c>
      <c r="H20" s="98">
        <f t="shared" si="5"/>
        <v>0.10412328196584753</v>
      </c>
      <c r="I20" s="98">
        <f t="shared" si="5"/>
        <v>7.4373772832748264E-2</v>
      </c>
      <c r="J20" s="98">
        <f t="shared" si="5"/>
        <v>5.3124123451963046E-2</v>
      </c>
      <c r="K20" s="98">
        <f t="shared" si="5"/>
        <v>3.7945802465687906E-2</v>
      </c>
      <c r="L20" s="98">
        <f t="shared" si="5"/>
        <v>2.7104144618348536E-2</v>
      </c>
      <c r="M20" s="98">
        <f t="shared" si="5"/>
        <v>1.9360103298820319E-2</v>
      </c>
      <c r="N20" s="98">
        <f t="shared" si="5"/>
        <v>1.3828645213443069E-2</v>
      </c>
    </row>
    <row r="21" spans="1:15" ht="15" customHeight="1" x14ac:dyDescent="0.45">
      <c r="B21" s="145"/>
      <c r="C21" s="146"/>
      <c r="D21" s="21" t="s">
        <v>56</v>
      </c>
      <c r="E21" s="98"/>
      <c r="F21" s="98"/>
      <c r="G21" s="98"/>
      <c r="H21" s="98"/>
      <c r="I21" s="98">
        <f>SUM(E20:I20)/5</f>
        <v>0.16281311358362588</v>
      </c>
      <c r="J21" s="28"/>
      <c r="K21" s="28"/>
      <c r="L21" s="28"/>
      <c r="M21" s="28"/>
      <c r="N21" s="98">
        <f>SUM(E20:N20)/10</f>
        <v>9.6542838696639224E-2</v>
      </c>
    </row>
    <row r="22" spans="1:15" ht="15" customHeight="1" x14ac:dyDescent="0.45">
      <c r="B22" s="145"/>
      <c r="C22" s="146"/>
      <c r="D22" s="21" t="s">
        <v>84</v>
      </c>
      <c r="E22" s="98">
        <f>$E$12*E20</f>
        <v>0.2857142857142857</v>
      </c>
      <c r="F22" s="98">
        <f t="shared" ref="F22:N22" si="6">$E$12*F20</f>
        <v>0.20408163265306123</v>
      </c>
      <c r="G22" s="98">
        <f t="shared" si="6"/>
        <v>0.14577259475218662</v>
      </c>
      <c r="H22" s="98">
        <f t="shared" si="6"/>
        <v>0.10412328196584753</v>
      </c>
      <c r="I22" s="98">
        <f t="shared" si="6"/>
        <v>7.4373772832748264E-2</v>
      </c>
      <c r="J22" s="98">
        <f t="shared" si="6"/>
        <v>5.3124123451963046E-2</v>
      </c>
      <c r="K22" s="98">
        <f t="shared" si="6"/>
        <v>3.7945802465687906E-2</v>
      </c>
      <c r="L22" s="98">
        <f t="shared" si="6"/>
        <v>2.7104144618348536E-2</v>
      </c>
      <c r="M22" s="98">
        <f t="shared" si="6"/>
        <v>1.9360103298820319E-2</v>
      </c>
      <c r="N22" s="98">
        <f t="shared" si="6"/>
        <v>1.3828645213443069E-2</v>
      </c>
    </row>
    <row r="23" spans="1:15" ht="15" customHeight="1" x14ac:dyDescent="0.45">
      <c r="B23" s="145"/>
      <c r="C23" s="146"/>
      <c r="D23" s="21" t="s">
        <v>85</v>
      </c>
      <c r="E23" s="98"/>
      <c r="F23" s="98"/>
      <c r="G23" s="98"/>
      <c r="H23" s="98"/>
      <c r="I23" s="98">
        <f>SUM(E22:I22)/5</f>
        <v>0.16281311358362588</v>
      </c>
      <c r="J23" s="28"/>
      <c r="K23" s="28"/>
      <c r="L23" s="28"/>
      <c r="M23" s="28"/>
      <c r="N23" s="98">
        <f>SUM(E22:N22)/10</f>
        <v>9.6542838696639224E-2</v>
      </c>
    </row>
    <row r="24" spans="1:15" ht="15" customHeight="1" x14ac:dyDescent="0.45">
      <c r="B24" s="145"/>
      <c r="C24" s="146"/>
      <c r="D24" s="17" t="s">
        <v>86</v>
      </c>
      <c r="E24" s="19">
        <f>E20+E22</f>
        <v>0.5714285714285714</v>
      </c>
      <c r="F24" s="19">
        <f t="shared" ref="F24:N24" si="7">F20+F22</f>
        <v>0.40816326530612246</v>
      </c>
      <c r="G24" s="19">
        <f t="shared" si="7"/>
        <v>0.29154518950437325</v>
      </c>
      <c r="H24" s="19">
        <f t="shared" si="7"/>
        <v>0.20824656393169505</v>
      </c>
      <c r="I24" s="19">
        <f t="shared" si="7"/>
        <v>0.14874754566549653</v>
      </c>
      <c r="J24" s="19">
        <f t="shared" si="7"/>
        <v>0.10624824690392609</v>
      </c>
      <c r="K24" s="19">
        <f t="shared" si="7"/>
        <v>7.5891604931375811E-2</v>
      </c>
      <c r="L24" s="19">
        <f t="shared" si="7"/>
        <v>5.4208289236697071E-2</v>
      </c>
      <c r="M24" s="19">
        <f t="shared" si="7"/>
        <v>3.8720206597640638E-2</v>
      </c>
      <c r="N24" s="19">
        <f t="shared" si="7"/>
        <v>2.7657290426886139E-2</v>
      </c>
    </row>
    <row r="25" spans="1:15" ht="15" customHeight="1" x14ac:dyDescent="0.45">
      <c r="B25" s="142"/>
      <c r="C25" s="144"/>
      <c r="D25" s="17" t="s">
        <v>87</v>
      </c>
      <c r="E25" s="19"/>
      <c r="F25" s="19"/>
      <c r="G25" s="19"/>
      <c r="H25" s="19"/>
      <c r="I25" s="19">
        <f>SUM(E24:I24)/5</f>
        <v>0.32562622716725176</v>
      </c>
      <c r="J25" s="18"/>
      <c r="K25" s="18"/>
      <c r="L25" s="18"/>
      <c r="M25" s="18"/>
      <c r="N25" s="19">
        <f>SUM(E24:N24)/10</f>
        <v>0.19308567739327845</v>
      </c>
    </row>
    <row r="26" spans="1:15" ht="15" customHeight="1" x14ac:dyDescent="0.45">
      <c r="B26" s="141" t="s">
        <v>17</v>
      </c>
      <c r="C26" s="143" t="s">
        <v>41</v>
      </c>
      <c r="D26" s="17" t="s">
        <v>57</v>
      </c>
      <c r="E26" s="19">
        <f>(1+$E$12)*$E$5*2</f>
        <v>0.04</v>
      </c>
      <c r="F26" s="19">
        <f t="shared" ref="F26:N26" si="8">(1+$E$12)*$E$5*2</f>
        <v>0.04</v>
      </c>
      <c r="G26" s="19">
        <f t="shared" si="8"/>
        <v>0.04</v>
      </c>
      <c r="H26" s="19">
        <f t="shared" si="8"/>
        <v>0.04</v>
      </c>
      <c r="I26" s="19">
        <f t="shared" si="8"/>
        <v>0.04</v>
      </c>
      <c r="J26" s="19">
        <f t="shared" si="8"/>
        <v>0.04</v>
      </c>
      <c r="K26" s="19">
        <f t="shared" si="8"/>
        <v>0.04</v>
      </c>
      <c r="L26" s="19">
        <f t="shared" si="8"/>
        <v>0.04</v>
      </c>
      <c r="M26" s="19">
        <f t="shared" si="8"/>
        <v>0.04</v>
      </c>
      <c r="N26" s="19">
        <f t="shared" si="8"/>
        <v>0.04</v>
      </c>
    </row>
    <row r="27" spans="1:15" ht="15" customHeight="1" x14ac:dyDescent="0.45">
      <c r="B27" s="142"/>
      <c r="C27" s="144"/>
      <c r="D27" s="17" t="s">
        <v>58</v>
      </c>
      <c r="E27" s="19">
        <f>E26</f>
        <v>0.04</v>
      </c>
      <c r="F27" s="19">
        <f>E27+F26</f>
        <v>0.08</v>
      </c>
      <c r="G27" s="19">
        <f t="shared" ref="G27:N27" si="9">F27+G26</f>
        <v>0.12</v>
      </c>
      <c r="H27" s="19">
        <f t="shared" si="9"/>
        <v>0.16</v>
      </c>
      <c r="I27" s="19">
        <f t="shared" si="9"/>
        <v>0.2</v>
      </c>
      <c r="J27" s="19">
        <f t="shared" si="9"/>
        <v>0.24000000000000002</v>
      </c>
      <c r="K27" s="19">
        <f t="shared" si="9"/>
        <v>0.28000000000000003</v>
      </c>
      <c r="L27" s="19">
        <f t="shared" si="9"/>
        <v>0.32</v>
      </c>
      <c r="M27" s="19">
        <f t="shared" si="9"/>
        <v>0.36</v>
      </c>
      <c r="N27" s="19">
        <f t="shared" si="9"/>
        <v>0.39999999999999997</v>
      </c>
    </row>
    <row r="28" spans="1:15" ht="15" customHeight="1" x14ac:dyDescent="0.45">
      <c r="B28" s="4"/>
      <c r="C28" s="1"/>
      <c r="D28" s="53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5" ht="15" customHeight="1" x14ac:dyDescent="0.45">
      <c r="A29" s="9"/>
      <c r="B29" s="150" t="s">
        <v>37</v>
      </c>
      <c r="C29" s="54" t="s">
        <v>32</v>
      </c>
      <c r="D29" s="55">
        <f>E7</f>
        <v>0.17499999999999999</v>
      </c>
      <c r="E29" s="139" t="s">
        <v>3</v>
      </c>
      <c r="F29" s="139" t="s">
        <v>4</v>
      </c>
      <c r="G29" s="139" t="s">
        <v>5</v>
      </c>
      <c r="H29" s="139" t="s">
        <v>6</v>
      </c>
      <c r="I29" s="139" t="s">
        <v>7</v>
      </c>
      <c r="J29" s="139" t="s">
        <v>8</v>
      </c>
      <c r="K29" s="139" t="s">
        <v>9</v>
      </c>
      <c r="L29" s="139" t="s">
        <v>10</v>
      </c>
      <c r="M29" s="139" t="s">
        <v>11</v>
      </c>
      <c r="N29" s="139" t="s">
        <v>12</v>
      </c>
      <c r="O29" s="9"/>
    </row>
    <row r="30" spans="1:15" ht="15" customHeight="1" x14ac:dyDescent="0.45">
      <c r="B30" s="151"/>
      <c r="C30" s="45" t="s">
        <v>21</v>
      </c>
      <c r="D30" s="33" t="str">
        <f>"10 BTC / "&amp;TEXT($E$4*10, "$###0.00,,")&amp;"M USD"</f>
        <v>10 BTC / $1.00M USD</v>
      </c>
      <c r="E30" s="140"/>
      <c r="F30" s="140"/>
      <c r="G30" s="140"/>
      <c r="H30" s="140"/>
      <c r="I30" s="140"/>
      <c r="J30" s="140"/>
      <c r="K30" s="140"/>
      <c r="L30" s="140"/>
      <c r="M30" s="140"/>
      <c r="N30" s="140"/>
    </row>
    <row r="31" spans="1:15" ht="15" customHeight="1" x14ac:dyDescent="0.45">
      <c r="B31" s="141" t="s">
        <v>16</v>
      </c>
      <c r="C31" s="147" t="s">
        <v>41</v>
      </c>
      <c r="D31" s="17" t="s">
        <v>86</v>
      </c>
      <c r="E31" s="18">
        <f t="shared" ref="E31:N31" si="10">E36*$E$4/E$16</f>
        <v>0.125</v>
      </c>
      <c r="F31" s="18">
        <f t="shared" si="10"/>
        <v>8.9285714285714288E-2</v>
      </c>
      <c r="G31" s="18">
        <f t="shared" si="10"/>
        <v>6.3775510204081634E-2</v>
      </c>
      <c r="H31" s="18">
        <f t="shared" si="10"/>
        <v>4.5553935860058306E-2</v>
      </c>
      <c r="I31" s="18">
        <f t="shared" si="10"/>
        <v>3.2538525614327365E-2</v>
      </c>
      <c r="J31" s="18">
        <f t="shared" si="10"/>
        <v>2.3241804010233832E-2</v>
      </c>
      <c r="K31" s="18">
        <f t="shared" si="10"/>
        <v>1.6601288578738452E-2</v>
      </c>
      <c r="L31" s="18">
        <f t="shared" si="10"/>
        <v>1.1858063270527464E-2</v>
      </c>
      <c r="M31" s="18">
        <f t="shared" si="10"/>
        <v>8.4700451932339035E-3</v>
      </c>
      <c r="N31" s="18">
        <f t="shared" si="10"/>
        <v>6.0500322808813593E-3</v>
      </c>
    </row>
    <row r="32" spans="1:15" ht="15" customHeight="1" x14ac:dyDescent="0.45">
      <c r="B32" s="145"/>
      <c r="C32" s="147"/>
      <c r="D32" s="17" t="s">
        <v>87</v>
      </c>
      <c r="E32" s="18"/>
      <c r="F32" s="18"/>
      <c r="G32" s="18"/>
      <c r="H32" s="18"/>
      <c r="I32" s="19">
        <f>SUM(E31:I31)/5</f>
        <v>7.1230737192836319E-2</v>
      </c>
      <c r="J32" s="18"/>
      <c r="K32" s="18"/>
      <c r="L32" s="18"/>
      <c r="M32" s="18"/>
      <c r="N32" s="19">
        <f>SUM(E31:N31)/10</f>
        <v>4.2237491929779658E-2</v>
      </c>
    </row>
    <row r="33" spans="1:18" ht="15" customHeight="1" x14ac:dyDescent="0.45">
      <c r="B33" s="145"/>
      <c r="C33" s="147"/>
      <c r="D33" s="17" t="s">
        <v>53</v>
      </c>
      <c r="E33" s="18">
        <f t="shared" ref="E33:N33" si="11">E$18*(E31/E$20)</f>
        <v>0.125</v>
      </c>
      <c r="F33" s="18">
        <f t="shared" si="11"/>
        <v>0.21428571428571427</v>
      </c>
      <c r="G33" s="18">
        <f t="shared" si="11"/>
        <v>0.27806122448979587</v>
      </c>
      <c r="H33" s="18">
        <f t="shared" si="11"/>
        <v>0.32361516034985432</v>
      </c>
      <c r="I33" s="18">
        <f t="shared" si="11"/>
        <v>0.35615368596418157</v>
      </c>
      <c r="J33" s="18">
        <f t="shared" si="11"/>
        <v>0.37939548997441541</v>
      </c>
      <c r="K33" s="18">
        <f t="shared" si="11"/>
        <v>0.39599677855315374</v>
      </c>
      <c r="L33" s="18">
        <f t="shared" si="11"/>
        <v>0.40785484182368065</v>
      </c>
      <c r="M33" s="18">
        <f t="shared" si="11"/>
        <v>0.41632488701691595</v>
      </c>
      <c r="N33" s="18">
        <f t="shared" si="11"/>
        <v>0.42237491929779775</v>
      </c>
    </row>
    <row r="34" spans="1:18" ht="15" customHeight="1" x14ac:dyDescent="0.45">
      <c r="B34" s="145"/>
      <c r="C34" s="148"/>
      <c r="D34" s="21" t="s">
        <v>59</v>
      </c>
      <c r="E34" s="22">
        <f t="shared" ref="E34:N34" si="12">10*E31</f>
        <v>1.25</v>
      </c>
      <c r="F34" s="22">
        <f t="shared" si="12"/>
        <v>0.8928571428571429</v>
      </c>
      <c r="G34" s="22">
        <f t="shared" si="12"/>
        <v>0.63775510204081631</v>
      </c>
      <c r="H34" s="22">
        <f t="shared" si="12"/>
        <v>0.45553935860058303</v>
      </c>
      <c r="I34" s="22">
        <f t="shared" si="12"/>
        <v>0.32538525614327363</v>
      </c>
      <c r="J34" s="22">
        <f t="shared" si="12"/>
        <v>0.23241804010233832</v>
      </c>
      <c r="K34" s="22">
        <f t="shared" si="12"/>
        <v>0.16601288578738452</v>
      </c>
      <c r="L34" s="22">
        <f t="shared" si="12"/>
        <v>0.11858063270527464</v>
      </c>
      <c r="M34" s="22">
        <f t="shared" si="12"/>
        <v>8.4700451932339035E-2</v>
      </c>
      <c r="N34" s="22">
        <f t="shared" si="12"/>
        <v>6.0500322808813595E-2</v>
      </c>
      <c r="R34" s="13"/>
    </row>
    <row r="35" spans="1:18" ht="15" customHeight="1" x14ac:dyDescent="0.45">
      <c r="B35" s="145"/>
      <c r="C35" s="148"/>
      <c r="D35" s="21" t="s">
        <v>60</v>
      </c>
      <c r="E35" s="22">
        <f>10*E33</f>
        <v>1.25</v>
      </c>
      <c r="F35" s="22">
        <f>10*F33</f>
        <v>2.1428571428571428</v>
      </c>
      <c r="G35" s="22">
        <f>10*G33</f>
        <v>2.7806122448979584</v>
      </c>
      <c r="H35" s="22">
        <f t="shared" ref="H35:N35" si="13">10*H33</f>
        <v>3.2361516034985431</v>
      </c>
      <c r="I35" s="22">
        <f t="shared" si="13"/>
        <v>3.5615368596418158</v>
      </c>
      <c r="J35" s="22">
        <f t="shared" si="13"/>
        <v>3.7939548997441541</v>
      </c>
      <c r="K35" s="22">
        <f t="shared" si="13"/>
        <v>3.9599677855315374</v>
      </c>
      <c r="L35" s="22">
        <f t="shared" si="13"/>
        <v>4.0785484182368066</v>
      </c>
      <c r="M35" s="22">
        <f t="shared" si="13"/>
        <v>4.1632488701691592</v>
      </c>
      <c r="N35" s="22">
        <f t="shared" si="13"/>
        <v>4.2237491929779774</v>
      </c>
      <c r="R35" s="13"/>
    </row>
    <row r="36" spans="1:18" ht="15" customHeight="1" x14ac:dyDescent="0.45">
      <c r="B36" s="145"/>
      <c r="C36" s="149" t="s">
        <v>45</v>
      </c>
      <c r="D36" s="17" t="s">
        <v>55</v>
      </c>
      <c r="E36" s="18">
        <f>$D$29</f>
        <v>0.17499999999999999</v>
      </c>
      <c r="F36" s="18">
        <f t="shared" ref="F36:N36" si="14">$D$29</f>
        <v>0.17499999999999999</v>
      </c>
      <c r="G36" s="18">
        <f t="shared" si="14"/>
        <v>0.17499999999999999</v>
      </c>
      <c r="H36" s="18">
        <f t="shared" si="14"/>
        <v>0.17499999999999999</v>
      </c>
      <c r="I36" s="18">
        <f t="shared" si="14"/>
        <v>0.17499999999999999</v>
      </c>
      <c r="J36" s="18">
        <f t="shared" si="14"/>
        <v>0.17499999999999999</v>
      </c>
      <c r="K36" s="18">
        <f t="shared" si="14"/>
        <v>0.17499999999999999</v>
      </c>
      <c r="L36" s="18">
        <f t="shared" si="14"/>
        <v>0.17499999999999999</v>
      </c>
      <c r="M36" s="18">
        <f t="shared" si="14"/>
        <v>0.17499999999999999</v>
      </c>
      <c r="N36" s="18">
        <f t="shared" si="14"/>
        <v>0.17499999999999999</v>
      </c>
    </row>
    <row r="37" spans="1:18" ht="15" customHeight="1" x14ac:dyDescent="0.45">
      <c r="B37" s="145"/>
      <c r="C37" s="148"/>
      <c r="D37" s="21" t="s">
        <v>59</v>
      </c>
      <c r="E37" s="23">
        <f>E34*E$16</f>
        <v>175000</v>
      </c>
      <c r="F37" s="23">
        <f t="shared" ref="F37:N37" si="15">F34*F$16</f>
        <v>175000</v>
      </c>
      <c r="G37" s="23">
        <f t="shared" si="15"/>
        <v>175000</v>
      </c>
      <c r="H37" s="23">
        <f t="shared" si="15"/>
        <v>174999.99999999997</v>
      </c>
      <c r="I37" s="23">
        <f t="shared" si="15"/>
        <v>175000</v>
      </c>
      <c r="J37" s="23">
        <f t="shared" si="15"/>
        <v>175000</v>
      </c>
      <c r="K37" s="23">
        <f t="shared" si="15"/>
        <v>175000.00000000003</v>
      </c>
      <c r="L37" s="23">
        <f t="shared" si="15"/>
        <v>175000</v>
      </c>
      <c r="M37" s="23">
        <f t="shared" si="15"/>
        <v>175000</v>
      </c>
      <c r="N37" s="23">
        <f t="shared" si="15"/>
        <v>175000</v>
      </c>
    </row>
    <row r="38" spans="1:18" ht="15" customHeight="1" x14ac:dyDescent="0.45">
      <c r="B38" s="145"/>
      <c r="C38" s="148"/>
      <c r="D38" s="21" t="s">
        <v>60</v>
      </c>
      <c r="E38" s="23">
        <f>E37</f>
        <v>175000</v>
      </c>
      <c r="F38" s="23">
        <f>E38+F37</f>
        <v>350000</v>
      </c>
      <c r="G38" s="23">
        <f t="shared" ref="G38:N38" si="16">F38+G37</f>
        <v>525000</v>
      </c>
      <c r="H38" s="23">
        <f t="shared" si="16"/>
        <v>700000</v>
      </c>
      <c r="I38" s="23">
        <f t="shared" si="16"/>
        <v>875000</v>
      </c>
      <c r="J38" s="23">
        <f t="shared" si="16"/>
        <v>1050000</v>
      </c>
      <c r="K38" s="23">
        <f t="shared" si="16"/>
        <v>1225000</v>
      </c>
      <c r="L38" s="23">
        <f t="shared" si="16"/>
        <v>1400000</v>
      </c>
      <c r="M38" s="23">
        <f t="shared" si="16"/>
        <v>1575000</v>
      </c>
      <c r="N38" s="23">
        <f t="shared" si="16"/>
        <v>1750000</v>
      </c>
    </row>
    <row r="39" spans="1:18" ht="15" customHeight="1" x14ac:dyDescent="0.45">
      <c r="B39" s="145"/>
      <c r="C39" s="149" t="s">
        <v>44</v>
      </c>
      <c r="D39" s="17" t="s">
        <v>55</v>
      </c>
      <c r="E39" s="18">
        <f>E33*E$16/$E$4</f>
        <v>0.17499999999999999</v>
      </c>
      <c r="F39" s="18">
        <f>F33*F$16/$E$4-E39</f>
        <v>0.245</v>
      </c>
      <c r="G39" s="18">
        <f>G33*G$16/$E$4-F39-E39</f>
        <v>0.34299999999999992</v>
      </c>
      <c r="H39" s="18">
        <f>H33*H$16/$E$4-G39-F39-E39</f>
        <v>0.48020000000000057</v>
      </c>
      <c r="I39" s="18">
        <f>I33*I$16/$E$4-H39-G39-F39-E39</f>
        <v>0.67227999999999954</v>
      </c>
      <c r="J39" s="18">
        <f>J33*J$16/$E$4-I39-H39-G39-F39-E39</f>
        <v>0.94119200000000025</v>
      </c>
      <c r="K39" s="18">
        <f>K33*K$16/$E$4-J39-I39-H39-G39-F39-E39</f>
        <v>1.3176687999999983</v>
      </c>
      <c r="L39" s="18">
        <f>L33*L$16/$E$4-K39-J39-I39-H39-G39-F39-E39</f>
        <v>1.8447363199999913</v>
      </c>
      <c r="M39" s="18">
        <f>M33*M$16/$E$4-L39-K39-J39-I39-H39-G39-F39-E39</f>
        <v>2.5826308480000262</v>
      </c>
      <c r="N39" s="18">
        <f>N33*N$16/$E$4-M39-L39-K39-J39-I39-H39-G39-F39-E39</f>
        <v>3.6156831872000197</v>
      </c>
      <c r="R39" s="16"/>
    </row>
    <row r="40" spans="1:18" ht="15" customHeight="1" x14ac:dyDescent="0.45">
      <c r="B40" s="145"/>
      <c r="C40" s="147"/>
      <c r="D40" s="17" t="s">
        <v>56</v>
      </c>
      <c r="E40" s="19"/>
      <c r="F40" s="19"/>
      <c r="G40" s="19"/>
      <c r="H40" s="19"/>
      <c r="I40" s="44">
        <f>SUM(E39:I39)/5</f>
        <v>0.38309599999999999</v>
      </c>
      <c r="J40" s="19"/>
      <c r="K40" s="19"/>
      <c r="L40" s="19"/>
      <c r="M40" s="19"/>
      <c r="N40" s="19">
        <f>SUM(E39:N39)/10</f>
        <v>1.2217391155200035</v>
      </c>
      <c r="R40" s="13"/>
    </row>
    <row r="41" spans="1:18" ht="15" customHeight="1" x14ac:dyDescent="0.45">
      <c r="B41" s="145"/>
      <c r="C41" s="148"/>
      <c r="D41" s="21" t="s">
        <v>59</v>
      </c>
      <c r="E41" s="24">
        <f>E43</f>
        <v>175000</v>
      </c>
      <c r="F41" s="24">
        <f>F43-E43</f>
        <v>245000</v>
      </c>
      <c r="G41" s="24">
        <f t="shared" ref="G41:N41" si="17">G43-F43</f>
        <v>342999.99999999977</v>
      </c>
      <c r="H41" s="24">
        <f t="shared" si="17"/>
        <v>480200.00000000047</v>
      </c>
      <c r="I41" s="24">
        <f t="shared" si="17"/>
        <v>672279.99999999977</v>
      </c>
      <c r="J41" s="24">
        <f t="shared" si="17"/>
        <v>941192</v>
      </c>
      <c r="K41" s="24">
        <f t="shared" si="17"/>
        <v>1317668.7999999989</v>
      </c>
      <c r="L41" s="24">
        <f t="shared" si="17"/>
        <v>1844736.3199999919</v>
      </c>
      <c r="M41" s="24">
        <f t="shared" si="17"/>
        <v>2582630.8480000244</v>
      </c>
      <c r="N41" s="24">
        <f t="shared" si="17"/>
        <v>3615683.1872000191</v>
      </c>
    </row>
    <row r="42" spans="1:18" ht="15" customHeight="1" x14ac:dyDescent="0.45">
      <c r="B42" s="145"/>
      <c r="C42" s="148"/>
      <c r="D42" s="21" t="s">
        <v>61</v>
      </c>
      <c r="E42" s="24"/>
      <c r="F42" s="24"/>
      <c r="G42" s="24"/>
      <c r="H42" s="24"/>
      <c r="I42" s="24">
        <f>SUM(E41:I41)/5</f>
        <v>383096</v>
      </c>
      <c r="J42" s="24"/>
      <c r="K42" s="24"/>
      <c r="L42" s="24"/>
      <c r="M42" s="24"/>
      <c r="N42" s="24">
        <f>SUM(E41:N41)/10</f>
        <v>1221739.1155200035</v>
      </c>
    </row>
    <row r="43" spans="1:18" ht="15" customHeight="1" x14ac:dyDescent="0.45">
      <c r="B43" s="142"/>
      <c r="C43" s="148"/>
      <c r="D43" s="21" t="s">
        <v>60</v>
      </c>
      <c r="E43" s="23">
        <f t="shared" ref="E43:N43" si="18">E35*E$16</f>
        <v>175000</v>
      </c>
      <c r="F43" s="23">
        <f t="shared" si="18"/>
        <v>420000</v>
      </c>
      <c r="G43" s="23">
        <f t="shared" si="18"/>
        <v>762999.99999999977</v>
      </c>
      <c r="H43" s="23">
        <f t="shared" si="18"/>
        <v>1243200.0000000002</v>
      </c>
      <c r="I43" s="23">
        <f t="shared" si="18"/>
        <v>1915480</v>
      </c>
      <c r="J43" s="23">
        <f t="shared" si="18"/>
        <v>2856672</v>
      </c>
      <c r="K43" s="23">
        <f t="shared" si="18"/>
        <v>4174340.7999999989</v>
      </c>
      <c r="L43" s="23">
        <f t="shared" si="18"/>
        <v>6019077.1199999908</v>
      </c>
      <c r="M43" s="23">
        <f t="shared" si="18"/>
        <v>8601707.9680000152</v>
      </c>
      <c r="N43" s="23">
        <f t="shared" si="18"/>
        <v>12217391.155200034</v>
      </c>
    </row>
    <row r="44" spans="1:18" ht="15" customHeight="1" x14ac:dyDescent="0.45">
      <c r="A44" s="9"/>
      <c r="B44" s="4"/>
      <c r="C44" s="1"/>
      <c r="D44" s="53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9"/>
    </row>
    <row r="45" spans="1:18" ht="15" customHeight="1" x14ac:dyDescent="0.45">
      <c r="B45" s="152" t="s">
        <v>38</v>
      </c>
      <c r="C45" s="56" t="s">
        <v>33</v>
      </c>
      <c r="D45" s="57">
        <f>E8</f>
        <v>0.7</v>
      </c>
      <c r="E45" s="139" t="s">
        <v>3</v>
      </c>
      <c r="F45" s="139" t="s">
        <v>4</v>
      </c>
      <c r="G45" s="139" t="s">
        <v>5</v>
      </c>
      <c r="H45" s="139" t="s">
        <v>6</v>
      </c>
      <c r="I45" s="139" t="s">
        <v>7</v>
      </c>
      <c r="J45" s="139" t="s">
        <v>8</v>
      </c>
      <c r="K45" s="139" t="s">
        <v>9</v>
      </c>
      <c r="L45" s="139" t="s">
        <v>10</v>
      </c>
      <c r="M45" s="139" t="s">
        <v>11</v>
      </c>
      <c r="N45" s="139" t="s">
        <v>12</v>
      </c>
    </row>
    <row r="46" spans="1:18" ht="15" customHeight="1" x14ac:dyDescent="0.45">
      <c r="B46" s="153"/>
      <c r="C46" s="46" t="s">
        <v>21</v>
      </c>
      <c r="D46" s="34" t="str">
        <f>"10 BTC / "&amp;TEXT($E$4*10, "$###0.00,,")&amp;"M USD"</f>
        <v>10 BTC / $1.00M USD</v>
      </c>
      <c r="E46" s="140"/>
      <c r="F46" s="140"/>
      <c r="G46" s="140"/>
      <c r="H46" s="140"/>
      <c r="I46" s="140"/>
      <c r="J46" s="140"/>
      <c r="K46" s="140"/>
      <c r="L46" s="140"/>
      <c r="M46" s="140"/>
      <c r="N46" s="140"/>
    </row>
    <row r="47" spans="1:18" ht="15" customHeight="1" x14ac:dyDescent="0.45">
      <c r="B47" s="148" t="s">
        <v>16</v>
      </c>
      <c r="C47" s="147" t="s">
        <v>41</v>
      </c>
      <c r="D47" s="17" t="s">
        <v>86</v>
      </c>
      <c r="E47" s="18">
        <f t="shared" ref="E47:N47" si="19">E$24*$D45-E31</f>
        <v>0.27499999999999997</v>
      </c>
      <c r="F47" s="18">
        <f t="shared" si="19"/>
        <v>0.1964285714285714</v>
      </c>
      <c r="G47" s="18">
        <f t="shared" si="19"/>
        <v>0.14030612244897961</v>
      </c>
      <c r="H47" s="18">
        <f t="shared" si="19"/>
        <v>0.10021865889212821</v>
      </c>
      <c r="I47" s="18">
        <f t="shared" si="19"/>
        <v>7.1584756351520201E-2</v>
      </c>
      <c r="J47" s="18">
        <f t="shared" si="19"/>
        <v>5.1131968822514431E-2</v>
      </c>
      <c r="K47" s="18">
        <f t="shared" si="19"/>
        <v>3.6522834873224615E-2</v>
      </c>
      <c r="L47" s="18">
        <f t="shared" si="19"/>
        <v>2.6087739195160484E-2</v>
      </c>
      <c r="M47" s="18">
        <f t="shared" si="19"/>
        <v>1.8634099425114542E-2</v>
      </c>
      <c r="N47" s="18">
        <f t="shared" si="19"/>
        <v>1.3310071017938935E-2</v>
      </c>
      <c r="R47" s="13"/>
    </row>
    <row r="48" spans="1:18" ht="15" customHeight="1" x14ac:dyDescent="0.45">
      <c r="B48" s="148"/>
      <c r="C48" s="147"/>
      <c r="D48" s="17" t="s">
        <v>87</v>
      </c>
      <c r="E48" s="18"/>
      <c r="F48" s="18"/>
      <c r="G48" s="18"/>
      <c r="H48" s="18"/>
      <c r="I48" s="103">
        <f>SUM(E47:I47)/5</f>
        <v>0.15670762182423986</v>
      </c>
      <c r="J48" s="18"/>
      <c r="K48" s="18"/>
      <c r="L48" s="18"/>
      <c r="M48" s="18"/>
      <c r="N48" s="19">
        <f>SUM(E47:N47)/10</f>
        <v>9.2922482245515234E-2</v>
      </c>
      <c r="R48" s="13"/>
    </row>
    <row r="49" spans="2:18" ht="15" customHeight="1" x14ac:dyDescent="0.45">
      <c r="B49" s="148"/>
      <c r="C49" s="147"/>
      <c r="D49" s="17" t="s">
        <v>53</v>
      </c>
      <c r="E49" s="18">
        <f>E$18*(E47/E$20)</f>
        <v>0.27499999999999997</v>
      </c>
      <c r="F49" s="18">
        <f t="shared" ref="F49:N49" si="20">F$18*(F47/F$20)</f>
        <v>0.47142857142857131</v>
      </c>
      <c r="G49" s="18">
        <f t="shared" si="20"/>
        <v>0.61173469387755097</v>
      </c>
      <c r="H49" s="18">
        <f t="shared" si="20"/>
        <v>0.71195335276967908</v>
      </c>
      <c r="I49" s="18">
        <f t="shared" si="20"/>
        <v>0.78353810912119937</v>
      </c>
      <c r="J49" s="18">
        <f t="shared" si="20"/>
        <v>0.83467007794371395</v>
      </c>
      <c r="K49" s="18">
        <f t="shared" si="20"/>
        <v>0.87119291281693867</v>
      </c>
      <c r="L49" s="18">
        <f t="shared" si="20"/>
        <v>0.89728065201209961</v>
      </c>
      <c r="M49" s="18">
        <f t="shared" si="20"/>
        <v>0.91591475143721279</v>
      </c>
      <c r="N49" s="18">
        <f t="shared" si="20"/>
        <v>0.92922482245515114</v>
      </c>
    </row>
    <row r="50" spans="2:18" ht="15" customHeight="1" x14ac:dyDescent="0.45">
      <c r="B50" s="148"/>
      <c r="C50" s="148"/>
      <c r="D50" s="21" t="s">
        <v>59</v>
      </c>
      <c r="E50" s="22">
        <f>10*E47</f>
        <v>2.7499999999999996</v>
      </c>
      <c r="F50" s="22">
        <f t="shared" ref="F50:N50" si="21">10*F47</f>
        <v>1.964285714285714</v>
      </c>
      <c r="G50" s="22">
        <f t="shared" si="21"/>
        <v>1.4030612244897962</v>
      </c>
      <c r="H50" s="22">
        <f t="shared" si="21"/>
        <v>1.002186588921282</v>
      </c>
      <c r="I50" s="22">
        <f t="shared" si="21"/>
        <v>0.71584756351520196</v>
      </c>
      <c r="J50" s="22">
        <f t="shared" si="21"/>
        <v>0.51131968822514429</v>
      </c>
      <c r="K50" s="22">
        <f t="shared" si="21"/>
        <v>0.36522834873224613</v>
      </c>
      <c r="L50" s="22">
        <f t="shared" si="21"/>
        <v>0.26087739195160486</v>
      </c>
      <c r="M50" s="22">
        <f t="shared" si="21"/>
        <v>0.18634099425114542</v>
      </c>
      <c r="N50" s="22">
        <f t="shared" si="21"/>
        <v>0.13310071017938935</v>
      </c>
      <c r="R50" s="13"/>
    </row>
    <row r="51" spans="2:18" ht="15" customHeight="1" x14ac:dyDescent="0.45">
      <c r="B51" s="148"/>
      <c r="C51" s="148"/>
      <c r="D51" s="21" t="s">
        <v>60</v>
      </c>
      <c r="E51" s="22">
        <f>10*E49</f>
        <v>2.7499999999999996</v>
      </c>
      <c r="F51" s="22">
        <f>10*F49</f>
        <v>4.7142857142857135</v>
      </c>
      <c r="G51" s="22">
        <f>10*G49</f>
        <v>6.1173469387755102</v>
      </c>
      <c r="H51" s="22">
        <f t="shared" ref="H51:N51" si="22">10*H49</f>
        <v>7.1195335276967908</v>
      </c>
      <c r="I51" s="22">
        <f t="shared" si="22"/>
        <v>7.8353810912119934</v>
      </c>
      <c r="J51" s="22">
        <f t="shared" si="22"/>
        <v>8.3467007794371391</v>
      </c>
      <c r="K51" s="22">
        <f t="shared" si="22"/>
        <v>8.7119291281693876</v>
      </c>
      <c r="L51" s="22">
        <f t="shared" si="22"/>
        <v>8.9728065201209954</v>
      </c>
      <c r="M51" s="22">
        <f t="shared" si="22"/>
        <v>9.1591475143721279</v>
      </c>
      <c r="N51" s="22">
        <f t="shared" si="22"/>
        <v>9.2922482245515106</v>
      </c>
    </row>
    <row r="52" spans="2:18" ht="15" customHeight="1" x14ac:dyDescent="0.45">
      <c r="B52" s="148"/>
      <c r="C52" s="149" t="s">
        <v>45</v>
      </c>
      <c r="D52" s="17" t="s">
        <v>55</v>
      </c>
      <c r="E52" s="18">
        <f>E47*E$16/$E$4</f>
        <v>0.38499999999999995</v>
      </c>
      <c r="F52" s="18">
        <f t="shared" ref="F52:N52" si="23">F47*F$16/$E$4</f>
        <v>0.38499999999999995</v>
      </c>
      <c r="G52" s="18">
        <f t="shared" si="23"/>
        <v>0.38500000000000006</v>
      </c>
      <c r="H52" s="18">
        <f t="shared" si="23"/>
        <v>0.38499999999999973</v>
      </c>
      <c r="I52" s="18">
        <f t="shared" si="23"/>
        <v>0.38500000000000001</v>
      </c>
      <c r="J52" s="18">
        <f t="shared" si="23"/>
        <v>0.38500000000000001</v>
      </c>
      <c r="K52" s="18">
        <f t="shared" si="23"/>
        <v>0.38500000000000029</v>
      </c>
      <c r="L52" s="18">
        <f t="shared" si="23"/>
        <v>0.38500000000000095</v>
      </c>
      <c r="M52" s="18">
        <f t="shared" si="23"/>
        <v>0.38499999999999907</v>
      </c>
      <c r="N52" s="18">
        <f t="shared" si="23"/>
        <v>0.3849999999999984</v>
      </c>
      <c r="R52" s="13"/>
    </row>
    <row r="53" spans="2:18" ht="15" customHeight="1" x14ac:dyDescent="0.45">
      <c r="B53" s="148"/>
      <c r="C53" s="148"/>
      <c r="D53" s="21" t="s">
        <v>59</v>
      </c>
      <c r="E53" s="23">
        <f t="shared" ref="E53:N53" si="24">E50*E$16</f>
        <v>384999.99999999994</v>
      </c>
      <c r="F53" s="23">
        <f t="shared" si="24"/>
        <v>384999.99999999994</v>
      </c>
      <c r="G53" s="23">
        <f t="shared" si="24"/>
        <v>385000.00000000006</v>
      </c>
      <c r="H53" s="23">
        <f t="shared" si="24"/>
        <v>384999.99999999971</v>
      </c>
      <c r="I53" s="23">
        <f t="shared" si="24"/>
        <v>385000</v>
      </c>
      <c r="J53" s="23">
        <f t="shared" si="24"/>
        <v>385000</v>
      </c>
      <c r="K53" s="23">
        <f t="shared" si="24"/>
        <v>385000.00000000023</v>
      </c>
      <c r="L53" s="23">
        <f t="shared" si="24"/>
        <v>385000.00000000099</v>
      </c>
      <c r="M53" s="23">
        <f t="shared" si="24"/>
        <v>384999.99999999907</v>
      </c>
      <c r="N53" s="23">
        <f t="shared" si="24"/>
        <v>384999.99999999843</v>
      </c>
      <c r="R53" s="13"/>
    </row>
    <row r="54" spans="2:18" ht="15" customHeight="1" x14ac:dyDescent="0.45">
      <c r="B54" s="148"/>
      <c r="C54" s="148"/>
      <c r="D54" s="21" t="s">
        <v>60</v>
      </c>
      <c r="E54" s="23">
        <f>E53</f>
        <v>384999.99999999994</v>
      </c>
      <c r="F54" s="23">
        <f>E54+F53</f>
        <v>769999.99999999988</v>
      </c>
      <c r="G54" s="23">
        <f t="shared" ref="G54:N54" si="25">F54+G53</f>
        <v>1155000</v>
      </c>
      <c r="H54" s="23">
        <f t="shared" si="25"/>
        <v>1539999.9999999998</v>
      </c>
      <c r="I54" s="23">
        <f t="shared" si="25"/>
        <v>1924999.9999999998</v>
      </c>
      <c r="J54" s="23">
        <f t="shared" si="25"/>
        <v>2310000</v>
      </c>
      <c r="K54" s="23">
        <f t="shared" si="25"/>
        <v>2695000</v>
      </c>
      <c r="L54" s="23">
        <f t="shared" si="25"/>
        <v>3080000.0000000009</v>
      </c>
      <c r="M54" s="23">
        <f t="shared" si="25"/>
        <v>3465000</v>
      </c>
      <c r="N54" s="23">
        <f t="shared" si="25"/>
        <v>3849999.9999999986</v>
      </c>
      <c r="R54" s="13"/>
    </row>
    <row r="55" spans="2:18" ht="15" customHeight="1" x14ac:dyDescent="0.45">
      <c r="B55" s="148"/>
      <c r="C55" s="149" t="s">
        <v>44</v>
      </c>
      <c r="D55" s="17" t="s">
        <v>55</v>
      </c>
      <c r="E55" s="18">
        <f>E49*E$16/$E$4</f>
        <v>0.38499999999999995</v>
      </c>
      <c r="F55" s="18">
        <f>F49*F$16/$E$4-E55</f>
        <v>0.5389999999999997</v>
      </c>
      <c r="G55" s="18">
        <f>G49*G$16/$E$4-F55-E55</f>
        <v>0.75460000000000038</v>
      </c>
      <c r="H55" s="18">
        <f>H49*H$16/$E$4-G55-F55-E55</f>
        <v>1.0564399999999992</v>
      </c>
      <c r="I55" s="18">
        <f>I49*I$16/$E$4-H55-G55-F55-E55</f>
        <v>1.4790159999999999</v>
      </c>
      <c r="J55" s="18">
        <f>J49*J$16/$E$4-I55-H55-G55-F55-E55</f>
        <v>2.0706224000000009</v>
      </c>
      <c r="K55" s="18">
        <f>K49*K$16/$E$4-J55-I55-H55-G55-F55-E55</f>
        <v>2.8988713600000016</v>
      </c>
      <c r="L55" s="18">
        <f>L49*L$16/$E$4-K55-J55-I55-H55-G55-F55-E55</f>
        <v>4.058419904000008</v>
      </c>
      <c r="M55" s="18">
        <f>M49*M$16/$E$4-L55-K55-J55-I55-H55-G55-F55-E55</f>
        <v>5.6817878655999756</v>
      </c>
      <c r="N55" s="18">
        <f>N49*N$16/$E$4-M55-L55-K55-J55-I55-H55-G55-F55-E55</f>
        <v>7.9545030118399804</v>
      </c>
      <c r="R55" s="13"/>
    </row>
    <row r="56" spans="2:18" ht="15" customHeight="1" x14ac:dyDescent="0.45">
      <c r="B56" s="148"/>
      <c r="C56" s="147"/>
      <c r="D56" s="17" t="s">
        <v>56</v>
      </c>
      <c r="E56" s="19"/>
      <c r="F56" s="19"/>
      <c r="G56" s="19"/>
      <c r="H56" s="19"/>
      <c r="I56" s="19">
        <f>SUM(E55:I55)/5</f>
        <v>0.84281119999999987</v>
      </c>
      <c r="J56" s="19"/>
      <c r="K56" s="19"/>
      <c r="L56" s="19"/>
      <c r="M56" s="19"/>
      <c r="N56" s="19">
        <f>SUM(E55:N55)/10</f>
        <v>2.6878260541439962</v>
      </c>
      <c r="R56" s="13"/>
    </row>
    <row r="57" spans="2:18" ht="15" customHeight="1" x14ac:dyDescent="0.45">
      <c r="B57" s="148"/>
      <c r="C57" s="148"/>
      <c r="D57" s="21" t="s">
        <v>59</v>
      </c>
      <c r="E57" s="24">
        <f>E59</f>
        <v>384999.99999999994</v>
      </c>
      <c r="F57" s="24">
        <f>F59-E59</f>
        <v>539000</v>
      </c>
      <c r="G57" s="24">
        <f t="shared" ref="G57:N57" si="26">G59-F59</f>
        <v>754600.00000000012</v>
      </c>
      <c r="H57" s="24">
        <f t="shared" si="26"/>
        <v>1056439.9999999991</v>
      </c>
      <c r="I57" s="24">
        <f t="shared" si="26"/>
        <v>1479016</v>
      </c>
      <c r="J57" s="24">
        <f t="shared" si="26"/>
        <v>2070622.4000000004</v>
      </c>
      <c r="K57" s="24">
        <f t="shared" si="26"/>
        <v>2898871.3600000041</v>
      </c>
      <c r="L57" s="24">
        <f t="shared" si="26"/>
        <v>4058419.9040000066</v>
      </c>
      <c r="M57" s="24">
        <f t="shared" si="26"/>
        <v>5681787.8655999769</v>
      </c>
      <c r="N57" s="24">
        <f t="shared" si="26"/>
        <v>7954503.0118399747</v>
      </c>
      <c r="R57" s="13"/>
    </row>
    <row r="58" spans="2:18" ht="15" customHeight="1" x14ac:dyDescent="0.45">
      <c r="B58" s="148"/>
      <c r="C58" s="148"/>
      <c r="D58" s="21" t="s">
        <v>61</v>
      </c>
      <c r="E58" s="24"/>
      <c r="F58" s="24"/>
      <c r="G58" s="24"/>
      <c r="H58" s="24"/>
      <c r="I58" s="24">
        <f>SUM(E57:I57)/5</f>
        <v>842811.19999999984</v>
      </c>
      <c r="J58" s="24"/>
      <c r="K58" s="24"/>
      <c r="L58" s="24"/>
      <c r="M58" s="24"/>
      <c r="N58" s="24">
        <f>SUM(E57:N57)/10</f>
        <v>2687826.054143996</v>
      </c>
      <c r="R58" s="13"/>
    </row>
    <row r="59" spans="2:18" ht="15" customHeight="1" x14ac:dyDescent="0.45">
      <c r="B59" s="148"/>
      <c r="C59" s="148"/>
      <c r="D59" s="21" t="s">
        <v>60</v>
      </c>
      <c r="E59" s="23">
        <f t="shared" ref="E59:N59" si="27">E51*E$16</f>
        <v>384999.99999999994</v>
      </c>
      <c r="F59" s="23">
        <f t="shared" si="27"/>
        <v>923999.99999999988</v>
      </c>
      <c r="G59" s="23">
        <f t="shared" si="27"/>
        <v>1678600</v>
      </c>
      <c r="H59" s="23">
        <f t="shared" si="27"/>
        <v>2735039.9999999991</v>
      </c>
      <c r="I59" s="23">
        <f t="shared" si="27"/>
        <v>4214055.9999999991</v>
      </c>
      <c r="J59" s="23">
        <f t="shared" si="27"/>
        <v>6284678.3999999994</v>
      </c>
      <c r="K59" s="23">
        <f t="shared" si="27"/>
        <v>9183549.7600000035</v>
      </c>
      <c r="L59" s="23">
        <f t="shared" si="27"/>
        <v>13241969.66400001</v>
      </c>
      <c r="M59" s="23">
        <f t="shared" si="27"/>
        <v>18923757.529599987</v>
      </c>
      <c r="N59" s="23">
        <f t="shared" si="27"/>
        <v>26878260.541439962</v>
      </c>
      <c r="R59" s="13"/>
    </row>
    <row r="60" spans="2:18" ht="15" customHeight="1" x14ac:dyDescent="0.45">
      <c r="B60" s="148" t="s">
        <v>17</v>
      </c>
      <c r="C60" s="147" t="s">
        <v>41</v>
      </c>
      <c r="D60" s="17" t="s">
        <v>55</v>
      </c>
      <c r="E60" s="18">
        <f>E$26*$D45</f>
        <v>2.7999999999999997E-2</v>
      </c>
      <c r="F60" s="18">
        <f t="shared" ref="F60:N60" si="28">F$26*$D45</f>
        <v>2.7999999999999997E-2</v>
      </c>
      <c r="G60" s="18">
        <f t="shared" si="28"/>
        <v>2.7999999999999997E-2</v>
      </c>
      <c r="H60" s="18">
        <f t="shared" si="28"/>
        <v>2.7999999999999997E-2</v>
      </c>
      <c r="I60" s="102">
        <f t="shared" si="28"/>
        <v>2.7999999999999997E-2</v>
      </c>
      <c r="J60" s="18">
        <f t="shared" si="28"/>
        <v>2.7999999999999997E-2</v>
      </c>
      <c r="K60" s="18">
        <f t="shared" si="28"/>
        <v>2.7999999999999997E-2</v>
      </c>
      <c r="L60" s="18">
        <f t="shared" si="28"/>
        <v>2.7999999999999997E-2</v>
      </c>
      <c r="M60" s="18">
        <f t="shared" si="28"/>
        <v>2.7999999999999997E-2</v>
      </c>
      <c r="N60" s="18">
        <f t="shared" si="28"/>
        <v>2.7999999999999997E-2</v>
      </c>
      <c r="R60" s="13"/>
    </row>
    <row r="61" spans="2:18" ht="15" customHeight="1" x14ac:dyDescent="0.45">
      <c r="B61" s="148"/>
      <c r="C61" s="147"/>
      <c r="D61" s="17" t="s">
        <v>53</v>
      </c>
      <c r="E61" s="18">
        <f>E$27*$D45</f>
        <v>2.7999999999999997E-2</v>
      </c>
      <c r="F61" s="18">
        <f>F$27*$D45</f>
        <v>5.5999999999999994E-2</v>
      </c>
      <c r="G61" s="18">
        <f>G$27*$D45</f>
        <v>8.3999999999999991E-2</v>
      </c>
      <c r="H61" s="18">
        <f t="shared" ref="H61:N61" si="29">H$27*$D45</f>
        <v>0.11199999999999999</v>
      </c>
      <c r="I61" s="18">
        <f t="shared" si="29"/>
        <v>0.13999999999999999</v>
      </c>
      <c r="J61" s="18">
        <f t="shared" si="29"/>
        <v>0.16800000000000001</v>
      </c>
      <c r="K61" s="18">
        <f t="shared" si="29"/>
        <v>0.19600000000000001</v>
      </c>
      <c r="L61" s="18">
        <f t="shared" si="29"/>
        <v>0.22399999999999998</v>
      </c>
      <c r="M61" s="18">
        <f t="shared" si="29"/>
        <v>0.252</v>
      </c>
      <c r="N61" s="18">
        <f t="shared" si="29"/>
        <v>0.27999999999999997</v>
      </c>
      <c r="R61" s="13"/>
    </row>
    <row r="62" spans="2:18" ht="15" customHeight="1" x14ac:dyDescent="0.45">
      <c r="B62" s="148"/>
      <c r="C62" s="148"/>
      <c r="D62" s="21" t="s">
        <v>59</v>
      </c>
      <c r="E62" s="22">
        <f>10*E60</f>
        <v>0.27999999999999997</v>
      </c>
      <c r="F62" s="22">
        <f t="shared" ref="F62:N63" si="30">10*F60</f>
        <v>0.27999999999999997</v>
      </c>
      <c r="G62" s="22">
        <f t="shared" si="30"/>
        <v>0.27999999999999997</v>
      </c>
      <c r="H62" s="22">
        <f t="shared" si="30"/>
        <v>0.27999999999999997</v>
      </c>
      <c r="I62" s="22">
        <f t="shared" si="30"/>
        <v>0.27999999999999997</v>
      </c>
      <c r="J62" s="22">
        <f t="shared" si="30"/>
        <v>0.27999999999999997</v>
      </c>
      <c r="K62" s="22">
        <f t="shared" si="30"/>
        <v>0.27999999999999997</v>
      </c>
      <c r="L62" s="22">
        <f t="shared" si="30"/>
        <v>0.27999999999999997</v>
      </c>
      <c r="M62" s="22">
        <f t="shared" si="30"/>
        <v>0.27999999999999997</v>
      </c>
      <c r="N62" s="22">
        <f t="shared" si="30"/>
        <v>0.27999999999999997</v>
      </c>
      <c r="R62" s="13"/>
    </row>
    <row r="63" spans="2:18" ht="15" customHeight="1" x14ac:dyDescent="0.45">
      <c r="B63" s="148"/>
      <c r="C63" s="148"/>
      <c r="D63" s="21" t="s">
        <v>60</v>
      </c>
      <c r="E63" s="22">
        <f>10*E61</f>
        <v>0.27999999999999997</v>
      </c>
      <c r="F63" s="22">
        <f t="shared" si="30"/>
        <v>0.55999999999999994</v>
      </c>
      <c r="G63" s="22">
        <f t="shared" si="30"/>
        <v>0.83999999999999986</v>
      </c>
      <c r="H63" s="22">
        <f t="shared" si="30"/>
        <v>1.1199999999999999</v>
      </c>
      <c r="I63" s="22">
        <f t="shared" si="30"/>
        <v>1.4</v>
      </c>
      <c r="J63" s="22">
        <f t="shared" si="30"/>
        <v>1.6800000000000002</v>
      </c>
      <c r="K63" s="22">
        <f t="shared" si="30"/>
        <v>1.96</v>
      </c>
      <c r="L63" s="22">
        <f t="shared" si="30"/>
        <v>2.2399999999999998</v>
      </c>
      <c r="M63" s="22">
        <f t="shared" si="30"/>
        <v>2.52</v>
      </c>
      <c r="N63" s="22">
        <f t="shared" si="30"/>
        <v>2.8</v>
      </c>
    </row>
    <row r="64" spans="2:18" ht="15" customHeight="1" x14ac:dyDescent="0.45">
      <c r="B64" s="148"/>
      <c r="C64" s="149" t="s">
        <v>45</v>
      </c>
      <c r="D64" s="17" t="s">
        <v>55</v>
      </c>
      <c r="E64" s="18">
        <f>E60*E$16/$E$4</f>
        <v>3.9199999999999999E-2</v>
      </c>
      <c r="F64" s="18">
        <f t="shared" ref="F64:N64" si="31">F60*F$16/$E$4</f>
        <v>5.4879999999999991E-2</v>
      </c>
      <c r="G64" s="18">
        <f t="shared" si="31"/>
        <v>7.6831999999999984E-2</v>
      </c>
      <c r="H64" s="18">
        <f t="shared" si="31"/>
        <v>0.1075648</v>
      </c>
      <c r="I64" s="18">
        <f t="shared" si="31"/>
        <v>0.15059071999999998</v>
      </c>
      <c r="J64" s="18">
        <f t="shared" si="31"/>
        <v>0.21082700799999998</v>
      </c>
      <c r="K64" s="18">
        <f t="shared" si="31"/>
        <v>0.29515781120000001</v>
      </c>
      <c r="L64" s="18">
        <f t="shared" si="31"/>
        <v>0.41322093567999996</v>
      </c>
      <c r="M64" s="18">
        <f t="shared" si="31"/>
        <v>0.57850930995200001</v>
      </c>
      <c r="N64" s="18">
        <f t="shared" si="31"/>
        <v>0.80991303393280001</v>
      </c>
    </row>
    <row r="65" spans="2:14" ht="15" customHeight="1" x14ac:dyDescent="0.45">
      <c r="B65" s="148"/>
      <c r="C65" s="147"/>
      <c r="D65" s="17" t="s">
        <v>56</v>
      </c>
      <c r="E65" s="18"/>
      <c r="F65" s="18"/>
      <c r="G65" s="18"/>
      <c r="H65" s="18"/>
      <c r="I65" s="19">
        <f>SUM(E64:I64)/5</f>
        <v>8.5813503999999985E-2</v>
      </c>
      <c r="J65" s="19"/>
      <c r="K65" s="19"/>
      <c r="L65" s="19"/>
      <c r="M65" s="19"/>
      <c r="N65" s="19">
        <f>SUM(E64:N64)/10</f>
        <v>0.27366956187648001</v>
      </c>
    </row>
    <row r="66" spans="2:14" ht="15" customHeight="1" x14ac:dyDescent="0.45">
      <c r="B66" s="148"/>
      <c r="C66" s="148"/>
      <c r="D66" s="21" t="s">
        <v>59</v>
      </c>
      <c r="E66" s="25">
        <f t="shared" ref="E66:N66" si="32">E62*E$16</f>
        <v>39199.999999999993</v>
      </c>
      <c r="F66" s="25">
        <f t="shared" si="32"/>
        <v>54879.999999999993</v>
      </c>
      <c r="G66" s="25">
        <f t="shared" si="32"/>
        <v>76831.999999999985</v>
      </c>
      <c r="H66" s="25">
        <f t="shared" si="32"/>
        <v>107564.79999999999</v>
      </c>
      <c r="I66" s="25">
        <f t="shared" si="32"/>
        <v>150590.71999999997</v>
      </c>
      <c r="J66" s="25">
        <f t="shared" si="32"/>
        <v>210827.00799999997</v>
      </c>
      <c r="K66" s="25">
        <f t="shared" si="32"/>
        <v>295157.8112</v>
      </c>
      <c r="L66" s="25">
        <f t="shared" si="32"/>
        <v>413220.93568</v>
      </c>
      <c r="M66" s="25">
        <f t="shared" si="32"/>
        <v>578509.30995199992</v>
      </c>
      <c r="N66" s="25">
        <f t="shared" si="32"/>
        <v>809913.03393280006</v>
      </c>
    </row>
    <row r="67" spans="2:14" ht="15" customHeight="1" x14ac:dyDescent="0.45">
      <c r="B67" s="148"/>
      <c r="C67" s="148"/>
      <c r="D67" s="21" t="s">
        <v>61</v>
      </c>
      <c r="E67" s="26"/>
      <c r="F67" s="26"/>
      <c r="G67" s="26"/>
      <c r="H67" s="26"/>
      <c r="I67" s="25">
        <f>SUM(E66:I66)/5</f>
        <v>85813.503999999986</v>
      </c>
      <c r="J67" s="25"/>
      <c r="K67" s="25"/>
      <c r="L67" s="25"/>
      <c r="M67" s="25"/>
      <c r="N67" s="25">
        <f>SUM(E66:N66)/10</f>
        <v>273669.56187648</v>
      </c>
    </row>
    <row r="68" spans="2:14" ht="15" customHeight="1" x14ac:dyDescent="0.45">
      <c r="B68" s="148"/>
      <c r="C68" s="148"/>
      <c r="D68" s="21" t="s">
        <v>60</v>
      </c>
      <c r="E68" s="26">
        <f>E66</f>
        <v>39199.999999999993</v>
      </c>
      <c r="F68" s="26">
        <f t="shared" ref="F68:N68" si="33">E68+F66</f>
        <v>94079.999999999985</v>
      </c>
      <c r="G68" s="26">
        <f t="shared" si="33"/>
        <v>170911.99999999997</v>
      </c>
      <c r="H68" s="26">
        <f t="shared" si="33"/>
        <v>278476.79999999993</v>
      </c>
      <c r="I68" s="26">
        <f t="shared" si="33"/>
        <v>429067.5199999999</v>
      </c>
      <c r="J68" s="26">
        <f t="shared" si="33"/>
        <v>639894.52799999993</v>
      </c>
      <c r="K68" s="26">
        <f t="shared" si="33"/>
        <v>935052.33919999993</v>
      </c>
      <c r="L68" s="26">
        <f t="shared" si="33"/>
        <v>1348273.2748799999</v>
      </c>
      <c r="M68" s="26">
        <f t="shared" si="33"/>
        <v>1926782.5848319998</v>
      </c>
      <c r="N68" s="26">
        <f t="shared" si="33"/>
        <v>2736695.6187648</v>
      </c>
    </row>
    <row r="69" spans="2:14" ht="15" customHeight="1" x14ac:dyDescent="0.45">
      <c r="B69" s="148"/>
      <c r="C69" s="149" t="s">
        <v>44</v>
      </c>
      <c r="D69" s="17" t="s">
        <v>55</v>
      </c>
      <c r="E69" s="18">
        <f>E61*E$16/$E$4</f>
        <v>3.9199999999999999E-2</v>
      </c>
      <c r="F69" s="18">
        <f>F61*F$16/$E$4-E69</f>
        <v>7.0559999999999984E-2</v>
      </c>
      <c r="G69" s="18">
        <f>G61*G$16/$E$4-F69-E69</f>
        <v>0.120736</v>
      </c>
      <c r="H69" s="18">
        <f>H61*H$16/$E$4-G69-F69-E69</f>
        <v>0.19976320000000003</v>
      </c>
      <c r="I69" s="18">
        <f>I61*I$16/$E$4-H69-G69-F69-E69</f>
        <v>0.32269439999999983</v>
      </c>
      <c r="J69" s="18">
        <f>J61*J$16/$E$4-I69-H69-G69-F69-E69</f>
        <v>0.51200844800000034</v>
      </c>
      <c r="K69" s="18">
        <f>K61*K$16/$E$4-J69-I69-H69-G69-F69-E69</f>
        <v>0.80114263040000011</v>
      </c>
      <c r="L69" s="18">
        <f>L61*L$16/$E$4-K69-J69-I69-H69-G69-F69-E69</f>
        <v>1.2396628070399993</v>
      </c>
      <c r="M69" s="18">
        <f>M61*M$16/$E$4-L69-K69-J69-I69-H69-G69-F69-E69</f>
        <v>1.9008163041280011</v>
      </c>
      <c r="N69" s="18">
        <f>N61*N$16/$E$4-M69-L69-K69-J69-I69-H69-G69-F69-E69</f>
        <v>2.8925465497600005</v>
      </c>
    </row>
    <row r="70" spans="2:14" ht="15" customHeight="1" x14ac:dyDescent="0.45">
      <c r="B70" s="148"/>
      <c r="C70" s="147"/>
      <c r="D70" s="17" t="s">
        <v>56</v>
      </c>
      <c r="E70" s="19"/>
      <c r="F70" s="19"/>
      <c r="G70" s="19"/>
      <c r="H70" s="19"/>
      <c r="I70" s="19">
        <f>SUM(E69:I69)/5</f>
        <v>0.15059071999999998</v>
      </c>
      <c r="J70" s="19"/>
      <c r="K70" s="19"/>
      <c r="L70" s="19"/>
      <c r="M70" s="19"/>
      <c r="N70" s="19">
        <f>SUM(E69:N69)/10</f>
        <v>0.80991303393280012</v>
      </c>
    </row>
    <row r="71" spans="2:14" ht="15" customHeight="1" x14ac:dyDescent="0.45">
      <c r="B71" s="148"/>
      <c r="C71" s="148"/>
      <c r="D71" s="21" t="s">
        <v>59</v>
      </c>
      <c r="E71" s="25">
        <f>E73</f>
        <v>39199.999999999993</v>
      </c>
      <c r="F71" s="25">
        <f>F73-E73</f>
        <v>70560</v>
      </c>
      <c r="G71" s="25">
        <f>G73-F73</f>
        <v>120735.99999999999</v>
      </c>
      <c r="H71" s="25">
        <f t="shared" ref="H71:N71" si="34">H73-G73</f>
        <v>199763.19999999998</v>
      </c>
      <c r="I71" s="25">
        <f t="shared" si="34"/>
        <v>322694.40000000002</v>
      </c>
      <c r="J71" s="25">
        <f t="shared" si="34"/>
        <v>512008.44800000021</v>
      </c>
      <c r="K71" s="25">
        <f t="shared" si="34"/>
        <v>801142.63039999991</v>
      </c>
      <c r="L71" s="25">
        <f t="shared" si="34"/>
        <v>1239662.8070399999</v>
      </c>
      <c r="M71" s="25">
        <f t="shared" si="34"/>
        <v>1900816.3041280005</v>
      </c>
      <c r="N71" s="25">
        <f t="shared" si="34"/>
        <v>2892546.5497599998</v>
      </c>
    </row>
    <row r="72" spans="2:14" ht="15" customHeight="1" x14ac:dyDescent="0.45">
      <c r="B72" s="148"/>
      <c r="C72" s="148"/>
      <c r="D72" s="21" t="s">
        <v>61</v>
      </c>
      <c r="E72" s="25"/>
      <c r="F72" s="25"/>
      <c r="G72" s="25"/>
      <c r="H72" s="25"/>
      <c r="I72" s="25">
        <f>SUM(E71:I71)/5</f>
        <v>150590.72</v>
      </c>
      <c r="J72" s="25"/>
      <c r="K72" s="25"/>
      <c r="L72" s="25"/>
      <c r="M72" s="25"/>
      <c r="N72" s="25">
        <f>SUM(E71:N71)/10</f>
        <v>809913.03393280006</v>
      </c>
    </row>
    <row r="73" spans="2:14" ht="15" customHeight="1" x14ac:dyDescent="0.45">
      <c r="B73" s="148"/>
      <c r="C73" s="148"/>
      <c r="D73" s="21" t="s">
        <v>60</v>
      </c>
      <c r="E73" s="26">
        <f t="shared" ref="E73:N73" si="35">E63*E$16</f>
        <v>39199.999999999993</v>
      </c>
      <c r="F73" s="26">
        <f t="shared" si="35"/>
        <v>109759.99999999999</v>
      </c>
      <c r="G73" s="26">
        <f t="shared" si="35"/>
        <v>230495.99999999997</v>
      </c>
      <c r="H73" s="26">
        <f t="shared" si="35"/>
        <v>430259.19999999995</v>
      </c>
      <c r="I73" s="26">
        <f t="shared" si="35"/>
        <v>752953.6</v>
      </c>
      <c r="J73" s="26">
        <f t="shared" si="35"/>
        <v>1264962.0480000002</v>
      </c>
      <c r="K73" s="26">
        <f t="shared" si="35"/>
        <v>2066104.6784000001</v>
      </c>
      <c r="L73" s="26">
        <f t="shared" si="35"/>
        <v>3305767.48544</v>
      </c>
      <c r="M73" s="26">
        <f t="shared" si="35"/>
        <v>5206583.7895680005</v>
      </c>
      <c r="N73" s="26">
        <f t="shared" si="35"/>
        <v>8099130.3393280003</v>
      </c>
    </row>
    <row r="74" spans="2:14" ht="15" customHeight="1" x14ac:dyDescent="0.45">
      <c r="B74" s="148" t="s">
        <v>18</v>
      </c>
      <c r="C74" s="147" t="s">
        <v>41</v>
      </c>
      <c r="D74" s="17" t="s">
        <v>55</v>
      </c>
      <c r="E74" s="18">
        <f>E47+E60-E119</f>
        <v>0.24942857142857136</v>
      </c>
      <c r="F74" s="18">
        <f t="shared" ref="F74:N74" si="36">F47+F60-F119</f>
        <v>0.18616326530612243</v>
      </c>
      <c r="G74" s="18">
        <f t="shared" si="36"/>
        <v>0.14097376093294461</v>
      </c>
      <c r="H74" s="18">
        <f t="shared" si="36"/>
        <v>0.10869554352353178</v>
      </c>
      <c r="I74" s="18">
        <f t="shared" si="36"/>
        <v>8.5639673945379899E-2</v>
      </c>
      <c r="J74" s="18">
        <f t="shared" si="36"/>
        <v>6.9171195675271357E-2</v>
      </c>
      <c r="K74" s="18">
        <f t="shared" si="36"/>
        <v>5.740799691090813E-2</v>
      </c>
      <c r="L74" s="18">
        <f t="shared" si="36"/>
        <v>4.9005712079220137E-2</v>
      </c>
      <c r="M74" s="18">
        <f t="shared" si="36"/>
        <v>4.3004080056585722E-2</v>
      </c>
      <c r="N74" s="18">
        <f t="shared" si="36"/>
        <v>3.8717200040418349E-2</v>
      </c>
    </row>
    <row r="75" spans="2:14" ht="15" customHeight="1" x14ac:dyDescent="0.45">
      <c r="B75" s="148"/>
      <c r="C75" s="147"/>
      <c r="D75" s="17" t="s">
        <v>56</v>
      </c>
      <c r="E75" s="18"/>
      <c r="F75" s="18"/>
      <c r="G75" s="18"/>
      <c r="H75" s="18"/>
      <c r="I75" s="44">
        <f>SUM(E74:I74)/5</f>
        <v>0.15418016302731002</v>
      </c>
      <c r="J75" s="18"/>
      <c r="K75" s="18"/>
      <c r="L75" s="18"/>
      <c r="M75" s="18"/>
      <c r="N75" s="19">
        <f>SUM(E74:N74)/10</f>
        <v>0.10282069998989538</v>
      </c>
    </row>
    <row r="76" spans="2:14" ht="15" customHeight="1" x14ac:dyDescent="0.45">
      <c r="B76" s="148"/>
      <c r="C76" s="147"/>
      <c r="D76" s="17" t="s">
        <v>53</v>
      </c>
      <c r="E76" s="18">
        <f>E49+E61-E121</f>
        <v>0.24942857142857136</v>
      </c>
      <c r="F76" s="18">
        <f>F49+F61-F121</f>
        <v>0.43559183673469382</v>
      </c>
      <c r="G76" s="18">
        <f t="shared" ref="G76:N76" si="37">G49+G61-G121</f>
        <v>0.57656559766763849</v>
      </c>
      <c r="H76" s="18">
        <f t="shared" si="37"/>
        <v>0.6852611411911701</v>
      </c>
      <c r="I76" s="18">
        <f t="shared" si="37"/>
        <v>0.77090081513655018</v>
      </c>
      <c r="J76" s="18">
        <f t="shared" si="37"/>
        <v>0.84007201081182159</v>
      </c>
      <c r="K76" s="18">
        <f t="shared" si="37"/>
        <v>0.89748000772272984</v>
      </c>
      <c r="L76" s="18">
        <f t="shared" si="37"/>
        <v>0.94648571980195062</v>
      </c>
      <c r="M76" s="18">
        <f t="shared" si="37"/>
        <v>0.98948979985853458</v>
      </c>
      <c r="N76" s="18">
        <f t="shared" si="37"/>
        <v>1.028206999898952</v>
      </c>
    </row>
    <row r="77" spans="2:14" ht="15" customHeight="1" x14ac:dyDescent="0.45">
      <c r="B77" s="148"/>
      <c r="C77" s="148"/>
      <c r="D77" s="21" t="s">
        <v>59</v>
      </c>
      <c r="E77" s="22">
        <f>10*E74</f>
        <v>2.4942857142857138</v>
      </c>
      <c r="F77" s="22">
        <f t="shared" ref="F77:N77" si="38">10*F74</f>
        <v>1.8616326530612244</v>
      </c>
      <c r="G77" s="22">
        <f t="shared" si="38"/>
        <v>1.4097376093294463</v>
      </c>
      <c r="H77" s="22">
        <f t="shared" si="38"/>
        <v>1.0869554352353177</v>
      </c>
      <c r="I77" s="22">
        <f t="shared" si="38"/>
        <v>0.85639673945379902</v>
      </c>
      <c r="J77" s="22">
        <f t="shared" si="38"/>
        <v>0.69171195675271357</v>
      </c>
      <c r="K77" s="22">
        <f t="shared" si="38"/>
        <v>0.57407996910908132</v>
      </c>
      <c r="L77" s="22">
        <f t="shared" si="38"/>
        <v>0.49005712079220137</v>
      </c>
      <c r="M77" s="22">
        <f t="shared" si="38"/>
        <v>0.43004080056585725</v>
      </c>
      <c r="N77" s="22">
        <f t="shared" si="38"/>
        <v>0.38717200040418348</v>
      </c>
    </row>
    <row r="78" spans="2:14" ht="15" customHeight="1" x14ac:dyDescent="0.45">
      <c r="B78" s="148"/>
      <c r="C78" s="148"/>
      <c r="D78" s="21" t="s">
        <v>60</v>
      </c>
      <c r="E78" s="22">
        <f>10*E76</f>
        <v>2.4942857142857138</v>
      </c>
      <c r="F78" s="22">
        <f>10*F76</f>
        <v>4.3559183673469377</v>
      </c>
      <c r="G78" s="22">
        <f>10*G76</f>
        <v>5.7656559766763849</v>
      </c>
      <c r="H78" s="22">
        <f t="shared" ref="H78:N78" si="39">10*H76</f>
        <v>6.8526114119117008</v>
      </c>
      <c r="I78" s="22">
        <f t="shared" si="39"/>
        <v>7.7090081513655022</v>
      </c>
      <c r="J78" s="22">
        <f t="shared" si="39"/>
        <v>8.4007201081182163</v>
      </c>
      <c r="K78" s="22">
        <f t="shared" si="39"/>
        <v>8.9748000772272984</v>
      </c>
      <c r="L78" s="22">
        <f t="shared" si="39"/>
        <v>9.4648571980195069</v>
      </c>
      <c r="M78" s="22">
        <f t="shared" si="39"/>
        <v>9.8948979985853462</v>
      </c>
      <c r="N78" s="22">
        <f t="shared" si="39"/>
        <v>10.28206999898952</v>
      </c>
    </row>
    <row r="79" spans="2:14" ht="15" customHeight="1" x14ac:dyDescent="0.45">
      <c r="B79" s="148"/>
      <c r="C79" s="149" t="s">
        <v>45</v>
      </c>
      <c r="D79" s="17" t="s">
        <v>55</v>
      </c>
      <c r="E79" s="18">
        <f>E52+E64-E124</f>
        <v>0.34919999999999995</v>
      </c>
      <c r="F79" s="18">
        <f t="shared" ref="F79:N79" si="40">F52+F64-F124</f>
        <v>0.36487999999999993</v>
      </c>
      <c r="G79" s="18">
        <f t="shared" si="40"/>
        <v>0.38683200000000001</v>
      </c>
      <c r="H79" s="18">
        <f t="shared" si="40"/>
        <v>0.41756479999999974</v>
      </c>
      <c r="I79" s="18">
        <f t="shared" si="40"/>
        <v>0.46059071999999995</v>
      </c>
      <c r="J79" s="18">
        <f t="shared" si="40"/>
        <v>0.52082700800000004</v>
      </c>
      <c r="K79" s="18">
        <f t="shared" si="40"/>
        <v>0.60515781120000034</v>
      </c>
      <c r="L79" s="18">
        <f t="shared" si="40"/>
        <v>0.72322093568000101</v>
      </c>
      <c r="M79" s="18">
        <f t="shared" si="40"/>
        <v>0.88850930995199917</v>
      </c>
      <c r="N79" s="18">
        <f t="shared" si="40"/>
        <v>1.1199130339327985</v>
      </c>
    </row>
    <row r="80" spans="2:14" ht="15" customHeight="1" x14ac:dyDescent="0.45">
      <c r="B80" s="148"/>
      <c r="C80" s="147"/>
      <c r="D80" s="17" t="s">
        <v>56</v>
      </c>
      <c r="E80" s="18"/>
      <c r="F80" s="18"/>
      <c r="G80" s="18"/>
      <c r="H80" s="18"/>
      <c r="I80" s="19">
        <f>SUM(E79:I79)/5</f>
        <v>0.39581350399999993</v>
      </c>
      <c r="J80" s="19"/>
      <c r="K80" s="19"/>
      <c r="L80" s="19"/>
      <c r="M80" s="19"/>
      <c r="N80" s="19">
        <f>SUM(E79:N79)/10</f>
        <v>0.58366956187647978</v>
      </c>
    </row>
    <row r="81" spans="1:18" ht="15" customHeight="1" x14ac:dyDescent="0.45">
      <c r="B81" s="148"/>
      <c r="C81" s="148"/>
      <c r="D81" s="21" t="s">
        <v>59</v>
      </c>
      <c r="E81" s="24">
        <f t="shared" ref="E81:N81" si="41">E77*E$16</f>
        <v>349199.99999999994</v>
      </c>
      <c r="F81" s="24">
        <f t="shared" si="41"/>
        <v>364880</v>
      </c>
      <c r="G81" s="24">
        <f t="shared" si="41"/>
        <v>386832.00000000006</v>
      </c>
      <c r="H81" s="24">
        <f t="shared" si="41"/>
        <v>417564.79999999964</v>
      </c>
      <c r="I81" s="24">
        <f t="shared" si="41"/>
        <v>460590.72000000003</v>
      </c>
      <c r="J81" s="24">
        <f t="shared" si="41"/>
        <v>520827.00799999997</v>
      </c>
      <c r="K81" s="24">
        <f t="shared" si="41"/>
        <v>605157.81120000023</v>
      </c>
      <c r="L81" s="24">
        <f t="shared" si="41"/>
        <v>723220.93568000093</v>
      </c>
      <c r="M81" s="24">
        <f t="shared" si="41"/>
        <v>888509.30995199911</v>
      </c>
      <c r="N81" s="24">
        <f t="shared" si="41"/>
        <v>1119913.0339327983</v>
      </c>
    </row>
    <row r="82" spans="1:18" ht="15" customHeight="1" x14ac:dyDescent="0.45">
      <c r="B82" s="148"/>
      <c r="C82" s="148"/>
      <c r="D82" s="21" t="s">
        <v>61</v>
      </c>
      <c r="E82" s="23"/>
      <c r="F82" s="23"/>
      <c r="G82" s="23"/>
      <c r="H82" s="23"/>
      <c r="I82" s="24">
        <f>SUM(E81:I81)/5</f>
        <v>395813.5039999999</v>
      </c>
      <c r="J82" s="24"/>
      <c r="K82" s="24"/>
      <c r="L82" s="24"/>
      <c r="M82" s="24"/>
      <c r="N82" s="24">
        <f>SUM(E81:N81)/10</f>
        <v>583669.56187647977</v>
      </c>
    </row>
    <row r="83" spans="1:18" ht="15" customHeight="1" x14ac:dyDescent="0.45">
      <c r="B83" s="148"/>
      <c r="C83" s="148"/>
      <c r="D83" s="21" t="s">
        <v>60</v>
      </c>
      <c r="E83" s="23">
        <f>E81</f>
        <v>349199.99999999994</v>
      </c>
      <c r="F83" s="23">
        <f t="shared" ref="F83:N83" si="42">E83+F81</f>
        <v>714080</v>
      </c>
      <c r="G83" s="23">
        <f t="shared" si="42"/>
        <v>1100912</v>
      </c>
      <c r="H83" s="23">
        <f t="shared" si="42"/>
        <v>1518476.7999999996</v>
      </c>
      <c r="I83" s="23">
        <f t="shared" si="42"/>
        <v>1979067.5199999996</v>
      </c>
      <c r="J83" s="23">
        <f t="shared" si="42"/>
        <v>2499894.5279999995</v>
      </c>
      <c r="K83" s="23">
        <f t="shared" si="42"/>
        <v>3105052.3391999998</v>
      </c>
      <c r="L83" s="23">
        <f t="shared" si="42"/>
        <v>3828273.2748800009</v>
      </c>
      <c r="M83" s="23">
        <f t="shared" si="42"/>
        <v>4716782.5848319996</v>
      </c>
      <c r="N83" s="23">
        <f t="shared" si="42"/>
        <v>5836695.6187647982</v>
      </c>
    </row>
    <row r="84" spans="1:18" ht="15" customHeight="1" x14ac:dyDescent="0.45">
      <c r="B84" s="148"/>
      <c r="C84" s="149" t="s">
        <v>44</v>
      </c>
      <c r="D84" s="17" t="s">
        <v>55</v>
      </c>
      <c r="E84" s="18">
        <f>E55+E69-E127</f>
        <v>0.34919999999999995</v>
      </c>
      <c r="F84" s="18">
        <f t="shared" ref="F84:N84" si="43">F55+F69-F127</f>
        <v>0.50455999999999968</v>
      </c>
      <c r="G84" s="18">
        <f t="shared" si="43"/>
        <v>0.72833600000000043</v>
      </c>
      <c r="H84" s="18">
        <f t="shared" si="43"/>
        <v>1.050403199999999</v>
      </c>
      <c r="I84" s="18">
        <f t="shared" si="43"/>
        <v>1.5135904</v>
      </c>
      <c r="J84" s="18">
        <f t="shared" si="43"/>
        <v>2.1792628480000014</v>
      </c>
      <c r="K84" s="18">
        <f t="shared" si="43"/>
        <v>3.1352987904000025</v>
      </c>
      <c r="L84" s="18">
        <f t="shared" si="43"/>
        <v>4.5074814310400102</v>
      </c>
      <c r="M84" s="18">
        <f t="shared" si="43"/>
        <v>6.4757623777279667</v>
      </c>
      <c r="N84" s="18">
        <f t="shared" si="43"/>
        <v>9.2974710527999722</v>
      </c>
    </row>
    <row r="85" spans="1:18" ht="15" customHeight="1" x14ac:dyDescent="0.45">
      <c r="B85" s="148"/>
      <c r="C85" s="147"/>
      <c r="D85" s="17" t="s">
        <v>56</v>
      </c>
      <c r="E85" s="19"/>
      <c r="F85" s="19"/>
      <c r="G85" s="19"/>
      <c r="H85" s="19"/>
      <c r="I85" s="19">
        <f>SUM(E84:I84)/5</f>
        <v>0.82921791999999983</v>
      </c>
      <c r="J85" s="19"/>
      <c r="K85" s="19"/>
      <c r="L85" s="19"/>
      <c r="M85" s="19"/>
      <c r="N85" s="19">
        <f>SUM(E84:N84)/10</f>
        <v>2.9741366099967954</v>
      </c>
    </row>
    <row r="86" spans="1:18" ht="15" customHeight="1" x14ac:dyDescent="0.45">
      <c r="B86" s="148"/>
      <c r="C86" s="148"/>
      <c r="D86" s="21" t="s">
        <v>59</v>
      </c>
      <c r="E86" s="24">
        <f>E88</f>
        <v>349199.99999999994</v>
      </c>
      <c r="F86" s="24">
        <f>F88-E88</f>
        <v>504559.99999999983</v>
      </c>
      <c r="G86" s="24">
        <f>G88-F88</f>
        <v>728336.00000000023</v>
      </c>
      <c r="H86" s="24">
        <f t="shared" ref="H86:N86" si="44">H88-G88</f>
        <v>1050403.1999999988</v>
      </c>
      <c r="I86" s="24">
        <f t="shared" si="44"/>
        <v>1513590.4000000013</v>
      </c>
      <c r="J86" s="24">
        <f t="shared" si="44"/>
        <v>2179262.8479999998</v>
      </c>
      <c r="K86" s="24">
        <f t="shared" si="44"/>
        <v>3135298.7904000012</v>
      </c>
      <c r="L86" s="24">
        <f t="shared" si="44"/>
        <v>4507481.4310400132</v>
      </c>
      <c r="M86" s="24">
        <f t="shared" si="44"/>
        <v>6475762.3777279686</v>
      </c>
      <c r="N86" s="24">
        <f t="shared" si="44"/>
        <v>9297471.0527999625</v>
      </c>
    </row>
    <row r="87" spans="1:18" ht="15" customHeight="1" x14ac:dyDescent="0.45">
      <c r="A87" s="9"/>
      <c r="B87" s="148"/>
      <c r="C87" s="148"/>
      <c r="D87" s="21" t="s">
        <v>61</v>
      </c>
      <c r="E87" s="24"/>
      <c r="F87" s="24"/>
      <c r="G87" s="24"/>
      <c r="H87" s="24"/>
      <c r="I87" s="24">
        <f>SUM(E86:I86)/5</f>
        <v>829217.92</v>
      </c>
      <c r="J87" s="24"/>
      <c r="K87" s="24"/>
      <c r="L87" s="24"/>
      <c r="M87" s="24"/>
      <c r="N87" s="24">
        <f>SUM(E86:N86)/10</f>
        <v>2974136.6099967947</v>
      </c>
      <c r="O87" s="9"/>
    </row>
    <row r="88" spans="1:18" ht="15" customHeight="1" x14ac:dyDescent="0.45">
      <c r="B88" s="148"/>
      <c r="C88" s="148"/>
      <c r="D88" s="21" t="s">
        <v>60</v>
      </c>
      <c r="E88" s="23">
        <f t="shared" ref="E88:N88" si="45">E78*E$16</f>
        <v>349199.99999999994</v>
      </c>
      <c r="F88" s="23">
        <f t="shared" si="45"/>
        <v>853759.99999999977</v>
      </c>
      <c r="G88" s="23">
        <f t="shared" si="45"/>
        <v>1582096</v>
      </c>
      <c r="H88" s="23">
        <f t="shared" si="45"/>
        <v>2632499.1999999988</v>
      </c>
      <c r="I88" s="23">
        <f t="shared" si="45"/>
        <v>4146089.6</v>
      </c>
      <c r="J88" s="23">
        <f t="shared" si="45"/>
        <v>6325352.4479999999</v>
      </c>
      <c r="K88" s="23">
        <f t="shared" si="45"/>
        <v>9460651.2384000011</v>
      </c>
      <c r="L88" s="23">
        <f t="shared" si="45"/>
        <v>13968132.669440014</v>
      </c>
      <c r="M88" s="23">
        <f t="shared" si="45"/>
        <v>20443895.047167983</v>
      </c>
      <c r="N88" s="23">
        <f t="shared" si="45"/>
        <v>29741366.099967945</v>
      </c>
    </row>
    <row r="89" spans="1:18" s="5" customFormat="1" ht="15" customHeight="1" x14ac:dyDescent="0.45">
      <c r="B89" s="4"/>
      <c r="C89" s="1"/>
      <c r="D89" s="53"/>
      <c r="E89" s="36"/>
      <c r="F89" s="36"/>
      <c r="G89" s="36"/>
      <c r="H89" s="36"/>
      <c r="I89" s="36"/>
      <c r="J89" s="36"/>
      <c r="K89" s="36"/>
      <c r="L89" s="36"/>
      <c r="M89" s="36"/>
      <c r="N89" s="36"/>
      <c r="P89" s="2"/>
      <c r="Q89" s="2"/>
      <c r="R89" s="2"/>
    </row>
    <row r="90" spans="1:18" s="5" customFormat="1" ht="15" customHeight="1" x14ac:dyDescent="0.45">
      <c r="B90" s="154" t="s">
        <v>39</v>
      </c>
      <c r="C90" s="3" t="s">
        <v>33</v>
      </c>
      <c r="D90" s="58">
        <f>E9</f>
        <v>0.3</v>
      </c>
      <c r="E90" s="139" t="s">
        <v>3</v>
      </c>
      <c r="F90" s="139" t="s">
        <v>4</v>
      </c>
      <c r="G90" s="139" t="s">
        <v>5</v>
      </c>
      <c r="H90" s="139" t="s">
        <v>6</v>
      </c>
      <c r="I90" s="139" t="s">
        <v>7</v>
      </c>
      <c r="J90" s="139" t="s">
        <v>8</v>
      </c>
      <c r="K90" s="139" t="s">
        <v>9</v>
      </c>
      <c r="L90" s="139" t="s">
        <v>10</v>
      </c>
      <c r="M90" s="139" t="s">
        <v>11</v>
      </c>
      <c r="N90" s="139" t="s">
        <v>12</v>
      </c>
      <c r="P90" s="2"/>
      <c r="Q90" s="2"/>
      <c r="R90" s="2"/>
    </row>
    <row r="91" spans="1:18" s="5" customFormat="1" ht="15" customHeight="1" x14ac:dyDescent="0.45">
      <c r="B91" s="155"/>
      <c r="C91" s="47" t="s">
        <v>21</v>
      </c>
      <c r="D91" s="35" t="str">
        <f>"10 BTC / "&amp;TEXT($E$4*10, "$###0.00,,")&amp;"M USD"</f>
        <v>10 BTC / $1.00M USD</v>
      </c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P91" s="2"/>
      <c r="Q91" s="2"/>
      <c r="R91" s="2"/>
    </row>
    <row r="92" spans="1:18" s="5" customFormat="1" ht="15" customHeight="1" x14ac:dyDescent="0.45">
      <c r="B92" s="148" t="s">
        <v>16</v>
      </c>
      <c r="C92" s="147" t="s">
        <v>41</v>
      </c>
      <c r="D92" s="17" t="s">
        <v>86</v>
      </c>
      <c r="E92" s="18">
        <f>E$24*$D90</f>
        <v>0.1714285714285714</v>
      </c>
      <c r="F92" s="18">
        <f t="shared" ref="F92:N92" si="46">F$24*$D90</f>
        <v>0.12244897959183673</v>
      </c>
      <c r="G92" s="18">
        <f t="shared" si="46"/>
        <v>8.7463556851311977E-2</v>
      </c>
      <c r="H92" s="18">
        <f t="shared" si="46"/>
        <v>6.2473969179508509E-2</v>
      </c>
      <c r="I92" s="18">
        <f t="shared" si="46"/>
        <v>4.4624263699648954E-2</v>
      </c>
      <c r="J92" s="18">
        <f t="shared" si="46"/>
        <v>3.1874474071177827E-2</v>
      </c>
      <c r="K92" s="18">
        <f t="shared" si="46"/>
        <v>2.2767481479412741E-2</v>
      </c>
      <c r="L92" s="18">
        <f t="shared" si="46"/>
        <v>1.6262486771009121E-2</v>
      </c>
      <c r="M92" s="18">
        <f t="shared" si="46"/>
        <v>1.1616061979292191E-2</v>
      </c>
      <c r="N92" s="18">
        <f t="shared" si="46"/>
        <v>8.2971871280658419E-3</v>
      </c>
      <c r="P92" s="2"/>
      <c r="Q92" s="2"/>
      <c r="R92" s="2"/>
    </row>
    <row r="93" spans="1:18" s="5" customFormat="1" ht="15" customHeight="1" x14ac:dyDescent="0.45">
      <c r="B93" s="148"/>
      <c r="C93" s="147"/>
      <c r="D93" s="17" t="s">
        <v>87</v>
      </c>
      <c r="E93" s="18"/>
      <c r="F93" s="18"/>
      <c r="G93" s="18"/>
      <c r="H93" s="18"/>
      <c r="I93" s="103">
        <f>SUM(E92:I92)/5</f>
        <v>9.7687868150175508E-2</v>
      </c>
      <c r="J93" s="18"/>
      <c r="K93" s="18"/>
      <c r="L93" s="18"/>
      <c r="M93" s="18"/>
      <c r="N93" s="19">
        <f>SUM(E92:N92)/10</f>
        <v>5.7925703217983536E-2</v>
      </c>
      <c r="P93" s="2"/>
      <c r="Q93" s="2"/>
      <c r="R93" s="2"/>
    </row>
    <row r="94" spans="1:18" s="5" customFormat="1" ht="15" customHeight="1" x14ac:dyDescent="0.45">
      <c r="B94" s="148"/>
      <c r="C94" s="147"/>
      <c r="D94" s="17" t="s">
        <v>53</v>
      </c>
      <c r="E94" s="18">
        <f>E$18*(E92/E$20)</f>
        <v>0.1714285714285714</v>
      </c>
      <c r="F94" s="18">
        <f t="shared" ref="F94:N94" si="47">F$18*(F92/F$20)</f>
        <v>0.29387755102040813</v>
      </c>
      <c r="G94" s="18">
        <f t="shared" si="47"/>
        <v>0.3813411078717201</v>
      </c>
      <c r="H94" s="18">
        <f t="shared" si="47"/>
        <v>0.44381507705122863</v>
      </c>
      <c r="I94" s="18">
        <f t="shared" si="47"/>
        <v>0.48843934075087758</v>
      </c>
      <c r="J94" s="18">
        <f t="shared" si="47"/>
        <v>0.52031381482205541</v>
      </c>
      <c r="K94" s="18">
        <f t="shared" si="47"/>
        <v>0.54308129630146817</v>
      </c>
      <c r="L94" s="18">
        <f t="shared" si="47"/>
        <v>0.55934378307247723</v>
      </c>
      <c r="M94" s="18">
        <f t="shared" si="47"/>
        <v>0.57095984505176944</v>
      </c>
      <c r="N94" s="18">
        <f t="shared" si="47"/>
        <v>0.57925703217983526</v>
      </c>
      <c r="P94" s="2"/>
      <c r="Q94" s="2"/>
      <c r="R94" s="2"/>
    </row>
    <row r="95" spans="1:18" s="5" customFormat="1" ht="15" customHeight="1" x14ac:dyDescent="0.45">
      <c r="B95" s="148"/>
      <c r="C95" s="148"/>
      <c r="D95" s="21" t="s">
        <v>59</v>
      </c>
      <c r="E95" s="22">
        <f>10*E92</f>
        <v>1.714285714285714</v>
      </c>
      <c r="F95" s="22">
        <f t="shared" ref="F95:N95" si="48">10*F92</f>
        <v>1.2244897959183674</v>
      </c>
      <c r="G95" s="22">
        <f t="shared" si="48"/>
        <v>0.87463556851311974</v>
      </c>
      <c r="H95" s="22">
        <f t="shared" si="48"/>
        <v>0.62473969179508515</v>
      </c>
      <c r="I95" s="22">
        <f t="shared" si="48"/>
        <v>0.44624263699648953</v>
      </c>
      <c r="J95" s="22">
        <f t="shared" si="48"/>
        <v>0.31874474071177827</v>
      </c>
      <c r="K95" s="22">
        <f t="shared" si="48"/>
        <v>0.22767481479412741</v>
      </c>
      <c r="L95" s="22">
        <f t="shared" si="48"/>
        <v>0.16262486771009121</v>
      </c>
      <c r="M95" s="22">
        <f t="shared" si="48"/>
        <v>0.11616061979292192</v>
      </c>
      <c r="N95" s="22">
        <f t="shared" si="48"/>
        <v>8.2971871280658416E-2</v>
      </c>
      <c r="P95" s="2"/>
      <c r="Q95" s="2"/>
      <c r="R95" s="2"/>
    </row>
    <row r="96" spans="1:18" s="5" customFormat="1" ht="15" customHeight="1" x14ac:dyDescent="0.45">
      <c r="B96" s="148"/>
      <c r="C96" s="148"/>
      <c r="D96" s="21" t="s">
        <v>60</v>
      </c>
      <c r="E96" s="22">
        <f>10*E94</f>
        <v>1.714285714285714</v>
      </c>
      <c r="F96" s="22">
        <f>10*F94</f>
        <v>2.9387755102040813</v>
      </c>
      <c r="G96" s="22">
        <f>10*G94</f>
        <v>3.8134110787172011</v>
      </c>
      <c r="H96" s="22">
        <f t="shared" ref="H96:N96" si="49">10*H94</f>
        <v>4.4381507705122862</v>
      </c>
      <c r="I96" s="22">
        <f t="shared" si="49"/>
        <v>4.8843934075087763</v>
      </c>
      <c r="J96" s="22">
        <f t="shared" si="49"/>
        <v>5.2031381482205541</v>
      </c>
      <c r="K96" s="22">
        <f t="shared" si="49"/>
        <v>5.4308129630146817</v>
      </c>
      <c r="L96" s="22">
        <f t="shared" si="49"/>
        <v>5.5934378307247723</v>
      </c>
      <c r="M96" s="22">
        <f t="shared" si="49"/>
        <v>5.709598450517694</v>
      </c>
      <c r="N96" s="22">
        <f t="shared" si="49"/>
        <v>5.7925703217983529</v>
      </c>
      <c r="P96" s="2"/>
      <c r="Q96" s="2"/>
      <c r="R96" s="2"/>
    </row>
    <row r="97" spans="2:18" s="5" customFormat="1" ht="15" customHeight="1" x14ac:dyDescent="0.45">
      <c r="B97" s="148"/>
      <c r="C97" s="149" t="s">
        <v>45</v>
      </c>
      <c r="D97" s="17" t="s">
        <v>55</v>
      </c>
      <c r="E97" s="18">
        <f>E92*E$16/$E$4</f>
        <v>0.23999999999999996</v>
      </c>
      <c r="F97" s="18">
        <f t="shared" ref="F97:N97" si="50">F92*F$16/$E$4</f>
        <v>0.24</v>
      </c>
      <c r="G97" s="18">
        <f t="shared" si="50"/>
        <v>0.24000000000000007</v>
      </c>
      <c r="H97" s="18">
        <f t="shared" si="50"/>
        <v>0.23999999999999988</v>
      </c>
      <c r="I97" s="18">
        <f t="shared" si="50"/>
        <v>0.24</v>
      </c>
      <c r="J97" s="18">
        <f t="shared" si="50"/>
        <v>0.24</v>
      </c>
      <c r="K97" s="18">
        <f t="shared" si="50"/>
        <v>0.2400000000000001</v>
      </c>
      <c r="L97" s="18">
        <f t="shared" si="50"/>
        <v>0.24000000000000041</v>
      </c>
      <c r="M97" s="18">
        <f t="shared" si="50"/>
        <v>0.2399999999999996</v>
      </c>
      <c r="N97" s="18">
        <f t="shared" si="50"/>
        <v>0.23999999999999938</v>
      </c>
      <c r="P97" s="2"/>
      <c r="Q97" s="2"/>
      <c r="R97" s="2"/>
    </row>
    <row r="98" spans="2:18" s="5" customFormat="1" ht="15" customHeight="1" x14ac:dyDescent="0.45">
      <c r="B98" s="148"/>
      <c r="C98" s="148"/>
      <c r="D98" s="21" t="s">
        <v>59</v>
      </c>
      <c r="E98" s="23">
        <f t="shared" ref="E98:N98" si="51">E95*E$16</f>
        <v>239999.99999999994</v>
      </c>
      <c r="F98" s="23">
        <f t="shared" si="51"/>
        <v>240000</v>
      </c>
      <c r="G98" s="23">
        <f t="shared" si="51"/>
        <v>240000.00000000006</v>
      </c>
      <c r="H98" s="23">
        <f t="shared" si="51"/>
        <v>239999.99999999991</v>
      </c>
      <c r="I98" s="23">
        <f t="shared" si="51"/>
        <v>239999.99999999997</v>
      </c>
      <c r="J98" s="23">
        <f t="shared" si="51"/>
        <v>240000</v>
      </c>
      <c r="K98" s="23">
        <f t="shared" si="51"/>
        <v>240000.00000000009</v>
      </c>
      <c r="L98" s="23">
        <f t="shared" si="51"/>
        <v>240000.00000000041</v>
      </c>
      <c r="M98" s="23">
        <f t="shared" si="51"/>
        <v>239999.99999999962</v>
      </c>
      <c r="N98" s="23">
        <f t="shared" si="51"/>
        <v>239999.99999999936</v>
      </c>
      <c r="P98" s="2"/>
      <c r="Q98" s="2"/>
      <c r="R98" s="2"/>
    </row>
    <row r="99" spans="2:18" s="5" customFormat="1" ht="15" customHeight="1" x14ac:dyDescent="0.45">
      <c r="B99" s="148"/>
      <c r="C99" s="148"/>
      <c r="D99" s="21" t="s">
        <v>60</v>
      </c>
      <c r="E99" s="23">
        <f>E98</f>
        <v>239999.99999999994</v>
      </c>
      <c r="F99" s="23">
        <f>E99+F98</f>
        <v>479999.99999999994</v>
      </c>
      <c r="G99" s="23">
        <f t="shared" ref="G99:N99" si="52">F99+G98</f>
        <v>720000</v>
      </c>
      <c r="H99" s="23">
        <f t="shared" si="52"/>
        <v>959999.99999999988</v>
      </c>
      <c r="I99" s="23">
        <f t="shared" si="52"/>
        <v>1199999.9999999998</v>
      </c>
      <c r="J99" s="23">
        <f t="shared" si="52"/>
        <v>1439999.9999999998</v>
      </c>
      <c r="K99" s="23">
        <f t="shared" si="52"/>
        <v>1679999.9999999998</v>
      </c>
      <c r="L99" s="23">
        <f t="shared" si="52"/>
        <v>1920000.0000000002</v>
      </c>
      <c r="M99" s="23">
        <f t="shared" si="52"/>
        <v>2160000</v>
      </c>
      <c r="N99" s="23">
        <f t="shared" si="52"/>
        <v>2399999.9999999995</v>
      </c>
      <c r="P99" s="2"/>
      <c r="Q99" s="2"/>
      <c r="R99" s="2"/>
    </row>
    <row r="100" spans="2:18" s="5" customFormat="1" ht="15" customHeight="1" x14ac:dyDescent="0.45">
      <c r="B100" s="148"/>
      <c r="C100" s="149" t="s">
        <v>44</v>
      </c>
      <c r="D100" s="17" t="s">
        <v>55</v>
      </c>
      <c r="E100" s="18">
        <f>E94*E$16/$E$4</f>
        <v>0.23999999999999996</v>
      </c>
      <c r="F100" s="18">
        <f>F94*F$16/$E$4-E100</f>
        <v>0.33599999999999997</v>
      </c>
      <c r="G100" s="18">
        <f>G94*G$16/$E$4-F100-E100</f>
        <v>0.47040000000000004</v>
      </c>
      <c r="H100" s="18">
        <f>H94*H$16/$E$4-G100-F100-E100</f>
        <v>0.65856000000000015</v>
      </c>
      <c r="I100" s="18">
        <f>I94*I$16/$E$4-H100-G100-F100-E100</f>
        <v>0.92198399999999947</v>
      </c>
      <c r="J100" s="18">
        <f>J94*J$16/$E$4-I100-H100-G100-F100-E100</f>
        <v>1.2907776</v>
      </c>
      <c r="K100" s="18">
        <f>K94*K$16/$E$4-J100-I100-H100-G100-F100-E100</f>
        <v>1.8070886400000006</v>
      </c>
      <c r="L100" s="18">
        <f>L94*L$16/$E$4-K100-J100-I100-H100-G100-F100-E100</f>
        <v>2.5299240960000002</v>
      </c>
      <c r="M100" s="18">
        <f>M94*M$16/$E$4-L100-K100-J100-I100-H100-G100-F100-E100</f>
        <v>3.5418937344000003</v>
      </c>
      <c r="N100" s="18">
        <f>N94*N$16/$E$4-M100-L100-K100-J100-I100-H100-G100-F100-E100</f>
        <v>4.9586512281600008</v>
      </c>
      <c r="P100" s="2"/>
      <c r="Q100" s="2"/>
      <c r="R100" s="2"/>
    </row>
    <row r="101" spans="2:18" s="5" customFormat="1" ht="15" customHeight="1" x14ac:dyDescent="0.45">
      <c r="B101" s="148"/>
      <c r="C101" s="147"/>
      <c r="D101" s="17" t="s">
        <v>56</v>
      </c>
      <c r="E101" s="19"/>
      <c r="F101" s="19"/>
      <c r="G101" s="19"/>
      <c r="H101" s="19"/>
      <c r="I101" s="19">
        <f>SUM(E100:I100)/5</f>
        <v>0.52538879999999999</v>
      </c>
      <c r="J101" s="19"/>
      <c r="K101" s="19"/>
      <c r="L101" s="19"/>
      <c r="M101" s="19"/>
      <c r="N101" s="19">
        <f>SUM(E100:N100)/10</f>
        <v>1.6755279298560004</v>
      </c>
      <c r="P101" s="2"/>
      <c r="Q101" s="2"/>
      <c r="R101" s="2"/>
    </row>
    <row r="102" spans="2:18" s="5" customFormat="1" ht="15" customHeight="1" x14ac:dyDescent="0.45">
      <c r="B102" s="148"/>
      <c r="C102" s="148"/>
      <c r="D102" s="21" t="s">
        <v>59</v>
      </c>
      <c r="E102" s="24">
        <f>E104</f>
        <v>239999.99999999994</v>
      </c>
      <c r="F102" s="24">
        <f>F104-E104</f>
        <v>336000.00000000006</v>
      </c>
      <c r="G102" s="24">
        <f t="shared" ref="G102:N102" si="53">G104-F104</f>
        <v>470400</v>
      </c>
      <c r="H102" s="24">
        <f t="shared" si="53"/>
        <v>658559.99999999977</v>
      </c>
      <c r="I102" s="24">
        <f t="shared" si="53"/>
        <v>921984.00000000023</v>
      </c>
      <c r="J102" s="24">
        <f t="shared" si="53"/>
        <v>1290777.5999999996</v>
      </c>
      <c r="K102" s="24">
        <f t="shared" si="53"/>
        <v>1807088.6400000006</v>
      </c>
      <c r="L102" s="24">
        <f t="shared" si="53"/>
        <v>2529924.0959999999</v>
      </c>
      <c r="M102" s="24">
        <f t="shared" si="53"/>
        <v>3541893.7343999995</v>
      </c>
      <c r="N102" s="24">
        <f t="shared" si="53"/>
        <v>4958651.2281600013</v>
      </c>
      <c r="P102" s="2"/>
      <c r="Q102" s="2"/>
      <c r="R102" s="2"/>
    </row>
    <row r="103" spans="2:18" s="5" customFormat="1" ht="15" customHeight="1" x14ac:dyDescent="0.45">
      <c r="B103" s="148"/>
      <c r="C103" s="148"/>
      <c r="D103" s="21" t="s">
        <v>61</v>
      </c>
      <c r="E103" s="24"/>
      <c r="F103" s="24"/>
      <c r="G103" s="24"/>
      <c r="H103" s="24"/>
      <c r="I103" s="24">
        <f>SUM(E102:I102)/5</f>
        <v>525388.80000000005</v>
      </c>
      <c r="J103" s="24"/>
      <c r="K103" s="24"/>
      <c r="L103" s="24"/>
      <c r="M103" s="24"/>
      <c r="N103" s="24">
        <f>SUM(E102:N102)/10</f>
        <v>1675527.929856</v>
      </c>
      <c r="P103" s="2"/>
      <c r="Q103" s="2"/>
      <c r="R103" s="2"/>
    </row>
    <row r="104" spans="2:18" s="5" customFormat="1" ht="15" customHeight="1" x14ac:dyDescent="0.45">
      <c r="B104" s="148"/>
      <c r="C104" s="148"/>
      <c r="D104" s="21" t="s">
        <v>60</v>
      </c>
      <c r="E104" s="23">
        <f>E96*E$16</f>
        <v>239999.99999999994</v>
      </c>
      <c r="F104" s="23">
        <f t="shared" ref="F104:N104" si="54">F96*F$16</f>
        <v>576000</v>
      </c>
      <c r="G104" s="23">
        <f t="shared" si="54"/>
        <v>1046400</v>
      </c>
      <c r="H104" s="23">
        <f t="shared" si="54"/>
        <v>1704959.9999999998</v>
      </c>
      <c r="I104" s="23">
        <f t="shared" si="54"/>
        <v>2626944</v>
      </c>
      <c r="J104" s="23">
        <f t="shared" si="54"/>
        <v>3917721.5999999996</v>
      </c>
      <c r="K104" s="23">
        <f t="shared" si="54"/>
        <v>5724810.2400000002</v>
      </c>
      <c r="L104" s="23">
        <f t="shared" si="54"/>
        <v>8254734.3360000001</v>
      </c>
      <c r="M104" s="23">
        <f t="shared" si="54"/>
        <v>11796628.0704</v>
      </c>
      <c r="N104" s="23">
        <f t="shared" si="54"/>
        <v>16755279.298560001</v>
      </c>
      <c r="P104" s="2"/>
      <c r="Q104" s="2"/>
      <c r="R104" s="2"/>
    </row>
    <row r="105" spans="2:18" s="5" customFormat="1" ht="15" customHeight="1" x14ac:dyDescent="0.45">
      <c r="B105" s="148" t="s">
        <v>17</v>
      </c>
      <c r="C105" s="147" t="s">
        <v>41</v>
      </c>
      <c r="D105" s="17" t="s">
        <v>55</v>
      </c>
      <c r="E105" s="18">
        <f>E$26*$D90</f>
        <v>1.2E-2</v>
      </c>
      <c r="F105" s="18">
        <f t="shared" ref="F105:N105" si="55">F$26*$D90</f>
        <v>1.2E-2</v>
      </c>
      <c r="G105" s="18">
        <f t="shared" si="55"/>
        <v>1.2E-2</v>
      </c>
      <c r="H105" s="18">
        <f t="shared" si="55"/>
        <v>1.2E-2</v>
      </c>
      <c r="I105" s="102">
        <f t="shared" si="55"/>
        <v>1.2E-2</v>
      </c>
      <c r="J105" s="18">
        <f t="shared" si="55"/>
        <v>1.2E-2</v>
      </c>
      <c r="K105" s="18">
        <f t="shared" si="55"/>
        <v>1.2E-2</v>
      </c>
      <c r="L105" s="18">
        <f t="shared" si="55"/>
        <v>1.2E-2</v>
      </c>
      <c r="M105" s="18">
        <f t="shared" si="55"/>
        <v>1.2E-2</v>
      </c>
      <c r="N105" s="18">
        <f t="shared" si="55"/>
        <v>1.2E-2</v>
      </c>
      <c r="P105" s="2"/>
      <c r="Q105" s="2"/>
      <c r="R105" s="2"/>
    </row>
    <row r="106" spans="2:18" s="5" customFormat="1" ht="15" customHeight="1" x14ac:dyDescent="0.45">
      <c r="B106" s="148"/>
      <c r="C106" s="147"/>
      <c r="D106" s="17" t="s">
        <v>53</v>
      </c>
      <c r="E106" s="18">
        <f>E$27*$D90</f>
        <v>1.2E-2</v>
      </c>
      <c r="F106" s="18">
        <f t="shared" ref="F106:N106" si="56">F$27*$D90</f>
        <v>2.4E-2</v>
      </c>
      <c r="G106" s="18">
        <f t="shared" si="56"/>
        <v>3.5999999999999997E-2</v>
      </c>
      <c r="H106" s="18">
        <f t="shared" si="56"/>
        <v>4.8000000000000001E-2</v>
      </c>
      <c r="I106" s="18">
        <f t="shared" si="56"/>
        <v>0.06</v>
      </c>
      <c r="J106" s="18">
        <f t="shared" si="56"/>
        <v>7.2000000000000008E-2</v>
      </c>
      <c r="K106" s="18">
        <f t="shared" si="56"/>
        <v>8.4000000000000005E-2</v>
      </c>
      <c r="L106" s="18">
        <f t="shared" si="56"/>
        <v>9.6000000000000002E-2</v>
      </c>
      <c r="M106" s="18">
        <f t="shared" si="56"/>
        <v>0.108</v>
      </c>
      <c r="N106" s="18">
        <f t="shared" si="56"/>
        <v>0.11999999999999998</v>
      </c>
      <c r="P106" s="2"/>
      <c r="Q106" s="2"/>
      <c r="R106" s="2"/>
    </row>
    <row r="107" spans="2:18" s="5" customFormat="1" ht="15" customHeight="1" x14ac:dyDescent="0.45">
      <c r="B107" s="148"/>
      <c r="C107" s="148"/>
      <c r="D107" s="21" t="s">
        <v>59</v>
      </c>
      <c r="E107" s="22">
        <f>10*E105</f>
        <v>0.12</v>
      </c>
      <c r="F107" s="22">
        <f t="shared" ref="F107:N108" si="57">10*F105</f>
        <v>0.12</v>
      </c>
      <c r="G107" s="22">
        <f t="shared" si="57"/>
        <v>0.12</v>
      </c>
      <c r="H107" s="22">
        <f t="shared" si="57"/>
        <v>0.12</v>
      </c>
      <c r="I107" s="22">
        <f t="shared" si="57"/>
        <v>0.12</v>
      </c>
      <c r="J107" s="22">
        <f t="shared" si="57"/>
        <v>0.12</v>
      </c>
      <c r="K107" s="22">
        <f t="shared" si="57"/>
        <v>0.12</v>
      </c>
      <c r="L107" s="22">
        <f t="shared" si="57"/>
        <v>0.12</v>
      </c>
      <c r="M107" s="22">
        <f t="shared" si="57"/>
        <v>0.12</v>
      </c>
      <c r="N107" s="22">
        <f t="shared" si="57"/>
        <v>0.12</v>
      </c>
      <c r="P107" s="2"/>
      <c r="Q107" s="2"/>
      <c r="R107" s="2"/>
    </row>
    <row r="108" spans="2:18" s="5" customFormat="1" ht="15" customHeight="1" x14ac:dyDescent="0.45">
      <c r="B108" s="148"/>
      <c r="C108" s="148"/>
      <c r="D108" s="21" t="s">
        <v>60</v>
      </c>
      <c r="E108" s="22">
        <f>10*E106</f>
        <v>0.12</v>
      </c>
      <c r="F108" s="22">
        <f t="shared" si="57"/>
        <v>0.24</v>
      </c>
      <c r="G108" s="22">
        <f t="shared" si="57"/>
        <v>0.36</v>
      </c>
      <c r="H108" s="22">
        <f t="shared" si="57"/>
        <v>0.48</v>
      </c>
      <c r="I108" s="22">
        <f t="shared" si="57"/>
        <v>0.6</v>
      </c>
      <c r="J108" s="22">
        <f t="shared" si="57"/>
        <v>0.72000000000000008</v>
      </c>
      <c r="K108" s="22">
        <f t="shared" si="57"/>
        <v>0.84000000000000008</v>
      </c>
      <c r="L108" s="22">
        <f t="shared" si="57"/>
        <v>0.96</v>
      </c>
      <c r="M108" s="22">
        <f t="shared" si="57"/>
        <v>1.08</v>
      </c>
      <c r="N108" s="22">
        <f t="shared" si="57"/>
        <v>1.1999999999999997</v>
      </c>
      <c r="P108" s="2"/>
      <c r="Q108" s="2"/>
      <c r="R108" s="2"/>
    </row>
    <row r="109" spans="2:18" s="5" customFormat="1" ht="15" customHeight="1" x14ac:dyDescent="0.45">
      <c r="B109" s="148"/>
      <c r="C109" s="149" t="s">
        <v>45</v>
      </c>
      <c r="D109" s="17" t="s">
        <v>55</v>
      </c>
      <c r="E109" s="18">
        <f>E105*E$16/$E$4</f>
        <v>1.6799999999999999E-2</v>
      </c>
      <c r="F109" s="18">
        <f t="shared" ref="F109:N109" si="58">F105*F$16/$E$4</f>
        <v>2.3519999999999999E-2</v>
      </c>
      <c r="G109" s="18">
        <f t="shared" si="58"/>
        <v>3.2927999999999999E-2</v>
      </c>
      <c r="H109" s="18">
        <f t="shared" si="58"/>
        <v>4.60992E-2</v>
      </c>
      <c r="I109" s="18">
        <f t="shared" si="58"/>
        <v>6.4538879999999993E-2</v>
      </c>
      <c r="J109" s="18">
        <f t="shared" si="58"/>
        <v>9.0354431999999998E-2</v>
      </c>
      <c r="K109" s="18">
        <f t="shared" si="58"/>
        <v>0.12649620480000001</v>
      </c>
      <c r="L109" s="18">
        <f t="shared" si="58"/>
        <v>0.17709468672000003</v>
      </c>
      <c r="M109" s="18">
        <f t="shared" si="58"/>
        <v>0.24793256140799999</v>
      </c>
      <c r="N109" s="18">
        <f t="shared" si="58"/>
        <v>0.34710558597120006</v>
      </c>
      <c r="P109" s="2"/>
      <c r="Q109" s="2"/>
      <c r="R109" s="2"/>
    </row>
    <row r="110" spans="2:18" s="5" customFormat="1" ht="15" customHeight="1" x14ac:dyDescent="0.45">
      <c r="B110" s="148"/>
      <c r="C110" s="147"/>
      <c r="D110" s="17" t="s">
        <v>56</v>
      </c>
      <c r="E110" s="18"/>
      <c r="F110" s="18"/>
      <c r="G110" s="18"/>
      <c r="H110" s="18"/>
      <c r="I110" s="19">
        <f>SUM(E109:I109)/5</f>
        <v>3.6777215999999995E-2</v>
      </c>
      <c r="J110" s="19"/>
      <c r="K110" s="19"/>
      <c r="L110" s="19"/>
      <c r="M110" s="19"/>
      <c r="N110" s="19">
        <f>SUM(E109:N109)/10</f>
        <v>0.11728695508992001</v>
      </c>
      <c r="P110" s="2"/>
      <c r="Q110" s="2"/>
      <c r="R110" s="2"/>
    </row>
    <row r="111" spans="2:18" s="5" customFormat="1" ht="15" customHeight="1" x14ac:dyDescent="0.45">
      <c r="B111" s="148"/>
      <c r="C111" s="148"/>
      <c r="D111" s="21" t="s">
        <v>59</v>
      </c>
      <c r="E111" s="25">
        <f t="shared" ref="E111:N111" si="59">E107*E$16</f>
        <v>16800</v>
      </c>
      <c r="F111" s="25">
        <f t="shared" si="59"/>
        <v>23520</v>
      </c>
      <c r="G111" s="25">
        <f t="shared" si="59"/>
        <v>32928</v>
      </c>
      <c r="H111" s="25">
        <f t="shared" si="59"/>
        <v>46099.199999999997</v>
      </c>
      <c r="I111" s="25">
        <f t="shared" si="59"/>
        <v>64538.879999999997</v>
      </c>
      <c r="J111" s="25">
        <f t="shared" si="59"/>
        <v>90354.432000000001</v>
      </c>
      <c r="K111" s="25">
        <f t="shared" si="59"/>
        <v>126496.20480000001</v>
      </c>
      <c r="L111" s="25">
        <f t="shared" si="59"/>
        <v>177094.68672</v>
      </c>
      <c r="M111" s="25">
        <f t="shared" si="59"/>
        <v>247932.56140800001</v>
      </c>
      <c r="N111" s="25">
        <f t="shared" si="59"/>
        <v>347105.58597120002</v>
      </c>
      <c r="P111" s="2"/>
      <c r="Q111" s="2"/>
      <c r="R111" s="2"/>
    </row>
    <row r="112" spans="2:18" s="5" customFormat="1" ht="15" customHeight="1" x14ac:dyDescent="0.45">
      <c r="B112" s="148"/>
      <c r="C112" s="148"/>
      <c r="D112" s="21" t="s">
        <v>61</v>
      </c>
      <c r="E112" s="26"/>
      <c r="F112" s="26"/>
      <c r="G112" s="26"/>
      <c r="H112" s="26"/>
      <c r="I112" s="25">
        <f>SUM(E111:I111)/5</f>
        <v>36777.216</v>
      </c>
      <c r="J112" s="25"/>
      <c r="K112" s="25"/>
      <c r="L112" s="25"/>
      <c r="M112" s="25"/>
      <c r="N112" s="25">
        <f>SUM(E111:N111)/10</f>
        <v>117286.95508992001</v>
      </c>
      <c r="P112" s="2"/>
      <c r="Q112" s="2"/>
      <c r="R112" s="2"/>
    </row>
    <row r="113" spans="2:18" s="5" customFormat="1" ht="15" customHeight="1" x14ac:dyDescent="0.45">
      <c r="B113" s="148"/>
      <c r="C113" s="148"/>
      <c r="D113" s="21" t="s">
        <v>60</v>
      </c>
      <c r="E113" s="26">
        <f>E111</f>
        <v>16800</v>
      </c>
      <c r="F113" s="26">
        <f t="shared" ref="F113:N113" si="60">E113+F111</f>
        <v>40320</v>
      </c>
      <c r="G113" s="26">
        <f t="shared" si="60"/>
        <v>73248</v>
      </c>
      <c r="H113" s="26">
        <f t="shared" si="60"/>
        <v>119347.2</v>
      </c>
      <c r="I113" s="26">
        <f t="shared" si="60"/>
        <v>183886.07999999999</v>
      </c>
      <c r="J113" s="26">
        <f t="shared" si="60"/>
        <v>274240.51199999999</v>
      </c>
      <c r="K113" s="26">
        <f t="shared" si="60"/>
        <v>400736.71679999999</v>
      </c>
      <c r="L113" s="26">
        <f t="shared" si="60"/>
        <v>577831.40351999993</v>
      </c>
      <c r="M113" s="26">
        <f t="shared" si="60"/>
        <v>825763.964928</v>
      </c>
      <c r="N113" s="26">
        <f t="shared" si="60"/>
        <v>1172869.5508992001</v>
      </c>
      <c r="P113" s="2"/>
      <c r="Q113" s="2"/>
      <c r="R113" s="2"/>
    </row>
    <row r="114" spans="2:18" s="5" customFormat="1" ht="15" customHeight="1" x14ac:dyDescent="0.45">
      <c r="B114" s="148"/>
      <c r="C114" s="149" t="s">
        <v>44</v>
      </c>
      <c r="D114" s="17" t="s">
        <v>55</v>
      </c>
      <c r="E114" s="18">
        <f>E106*E$16/$E$4</f>
        <v>1.6799999999999999E-2</v>
      </c>
      <c r="F114" s="18">
        <f>F106*F$16/$E$4-E114</f>
        <v>3.024E-2</v>
      </c>
      <c r="G114" s="18">
        <f>G106*G$16/$E$4-F114-E114</f>
        <v>5.1743999999999998E-2</v>
      </c>
      <c r="H114" s="18">
        <f>H106*H$16/$E$4-G114-F114-E114</f>
        <v>8.5612800000000017E-2</v>
      </c>
      <c r="I114" s="18">
        <f>I106*I$16/$E$4-H114-G114-F114-E114</f>
        <v>0.13829759999999999</v>
      </c>
      <c r="J114" s="18">
        <f>J106*J$16/$E$4-I114-H114-G114-F114-E114</f>
        <v>0.21943219199999994</v>
      </c>
      <c r="K114" s="18">
        <f>K106*K$16/$E$4-J114-I114-H114-G114-F114-E114</f>
        <v>0.34334684160000006</v>
      </c>
      <c r="L114" s="18">
        <f>L106*L$16/$E$4-K114-J114-I114-H114-G114-F114-E114</f>
        <v>0.53128406016000007</v>
      </c>
      <c r="M114" s="18">
        <f>M106*M$16/$E$4-L114-K114-J114-I114-H114-G114-F114-E114</f>
        <v>0.81463555891200012</v>
      </c>
      <c r="N114" s="18">
        <f>N106*N$16/$E$4-M114-L114-K114-J114-I114-H114-G114-F114-E114</f>
        <v>1.2396628070399993</v>
      </c>
      <c r="P114" s="2"/>
      <c r="Q114" s="2"/>
      <c r="R114" s="2"/>
    </row>
    <row r="115" spans="2:18" s="5" customFormat="1" ht="15" customHeight="1" x14ac:dyDescent="0.45">
      <c r="B115" s="148"/>
      <c r="C115" s="147"/>
      <c r="D115" s="17" t="s">
        <v>56</v>
      </c>
      <c r="E115" s="19"/>
      <c r="F115" s="19"/>
      <c r="G115" s="19"/>
      <c r="H115" s="19"/>
      <c r="I115" s="19">
        <f>SUM(E114:I114)/5</f>
        <v>6.4538880000000007E-2</v>
      </c>
      <c r="J115" s="19"/>
      <c r="K115" s="19"/>
      <c r="L115" s="19"/>
      <c r="M115" s="19"/>
      <c r="N115" s="19">
        <f>SUM(E114:N114)/10</f>
        <v>0.34710558597119995</v>
      </c>
      <c r="P115" s="2"/>
      <c r="Q115" s="2"/>
      <c r="R115" s="2"/>
    </row>
    <row r="116" spans="2:18" s="5" customFormat="1" ht="15" customHeight="1" x14ac:dyDescent="0.45">
      <c r="B116" s="148"/>
      <c r="C116" s="148"/>
      <c r="D116" s="21" t="s">
        <v>59</v>
      </c>
      <c r="E116" s="25">
        <f>E118</f>
        <v>16800</v>
      </c>
      <c r="F116" s="25">
        <f>F118-E118</f>
        <v>30240</v>
      </c>
      <c r="G116" s="25">
        <f>G118-F118</f>
        <v>51744</v>
      </c>
      <c r="H116" s="25">
        <f t="shared" ref="H116:N116" si="61">H118-G118</f>
        <v>85612.799999999988</v>
      </c>
      <c r="I116" s="25">
        <f t="shared" si="61"/>
        <v>138297.59999999998</v>
      </c>
      <c r="J116" s="25">
        <f t="shared" si="61"/>
        <v>219432.1920000001</v>
      </c>
      <c r="K116" s="25">
        <f t="shared" si="61"/>
        <v>343346.84160000004</v>
      </c>
      <c r="L116" s="25">
        <f t="shared" si="61"/>
        <v>531284.06015999988</v>
      </c>
      <c r="M116" s="25">
        <f t="shared" si="61"/>
        <v>814635.55891200015</v>
      </c>
      <c r="N116" s="25">
        <f t="shared" si="61"/>
        <v>1239662.8070399994</v>
      </c>
      <c r="P116" s="2"/>
      <c r="Q116" s="2"/>
      <c r="R116" s="2"/>
    </row>
    <row r="117" spans="2:18" s="5" customFormat="1" ht="15" customHeight="1" x14ac:dyDescent="0.45">
      <c r="B117" s="148"/>
      <c r="C117" s="148"/>
      <c r="D117" s="21" t="s">
        <v>61</v>
      </c>
      <c r="E117" s="25"/>
      <c r="F117" s="25"/>
      <c r="G117" s="25"/>
      <c r="H117" s="25"/>
      <c r="I117" s="25">
        <f>SUM(E116:I116)/5</f>
        <v>64538.87999999999</v>
      </c>
      <c r="J117" s="25"/>
      <c r="K117" s="25"/>
      <c r="L117" s="25"/>
      <c r="M117" s="25"/>
      <c r="N117" s="25">
        <f>SUM(E116:N116)/10</f>
        <v>347105.58597119997</v>
      </c>
      <c r="P117" s="2"/>
      <c r="Q117" s="2"/>
      <c r="R117" s="2"/>
    </row>
    <row r="118" spans="2:18" s="5" customFormat="1" ht="15" customHeight="1" x14ac:dyDescent="0.45">
      <c r="B118" s="148"/>
      <c r="C118" s="148"/>
      <c r="D118" s="21" t="s">
        <v>60</v>
      </c>
      <c r="E118" s="26">
        <f t="shared" ref="E118:N118" si="62">E108*E$16</f>
        <v>16800</v>
      </c>
      <c r="F118" s="26">
        <f t="shared" si="62"/>
        <v>47040</v>
      </c>
      <c r="G118" s="26">
        <f t="shared" si="62"/>
        <v>98784</v>
      </c>
      <c r="H118" s="26">
        <f t="shared" si="62"/>
        <v>184396.79999999999</v>
      </c>
      <c r="I118" s="26">
        <f t="shared" si="62"/>
        <v>322694.39999999997</v>
      </c>
      <c r="J118" s="26">
        <f t="shared" si="62"/>
        <v>542126.59200000006</v>
      </c>
      <c r="K118" s="26">
        <f t="shared" si="62"/>
        <v>885473.43360000011</v>
      </c>
      <c r="L118" s="26">
        <f t="shared" si="62"/>
        <v>1416757.49376</v>
      </c>
      <c r="M118" s="26">
        <f t="shared" si="62"/>
        <v>2231393.0526720001</v>
      </c>
      <c r="N118" s="26">
        <f t="shared" si="62"/>
        <v>3471055.8597119995</v>
      </c>
      <c r="P118" s="2"/>
      <c r="Q118" s="2"/>
      <c r="R118" s="2"/>
    </row>
    <row r="119" spans="2:18" ht="15" customHeight="1" x14ac:dyDescent="0.45">
      <c r="B119" s="141" t="s">
        <v>73</v>
      </c>
      <c r="C119" s="147" t="s">
        <v>41</v>
      </c>
      <c r="D119" s="17" t="s">
        <v>55</v>
      </c>
      <c r="E119" s="18">
        <f>E124*$E$4/E$16</f>
        <v>5.3571428571428568E-2</v>
      </c>
      <c r="F119" s="18">
        <f t="shared" ref="F119:N119" si="63">F124*$E$4/F$16</f>
        <v>3.826530612244898E-2</v>
      </c>
      <c r="G119" s="18">
        <f t="shared" si="63"/>
        <v>2.7332361516034985E-2</v>
      </c>
      <c r="H119" s="18">
        <f t="shared" si="63"/>
        <v>1.9523115368596418E-2</v>
      </c>
      <c r="I119" s="18">
        <f t="shared" si="63"/>
        <v>1.3945082406140299E-2</v>
      </c>
      <c r="J119" s="18">
        <f t="shared" si="63"/>
        <v>9.9607731472430711E-3</v>
      </c>
      <c r="K119" s="18">
        <f t="shared" si="63"/>
        <v>7.1148379623164788E-3</v>
      </c>
      <c r="L119" s="18">
        <f t="shared" si="63"/>
        <v>5.0820271159403418E-3</v>
      </c>
      <c r="M119" s="18">
        <f t="shared" si="63"/>
        <v>3.6300193685288155E-3</v>
      </c>
      <c r="N119" s="18">
        <f t="shared" si="63"/>
        <v>2.5928709775205824E-3</v>
      </c>
    </row>
    <row r="120" spans="2:18" ht="15" customHeight="1" x14ac:dyDescent="0.45">
      <c r="B120" s="145"/>
      <c r="C120" s="147"/>
      <c r="D120" s="17" t="s">
        <v>56</v>
      </c>
      <c r="E120" s="18"/>
      <c r="F120" s="18"/>
      <c r="G120" s="18"/>
      <c r="H120" s="18"/>
      <c r="I120" s="103">
        <f>SUM(E119:I119)/5</f>
        <v>3.0527458796929852E-2</v>
      </c>
      <c r="J120" s="18"/>
      <c r="K120" s="18"/>
      <c r="L120" s="18"/>
      <c r="M120" s="18"/>
      <c r="N120" s="19">
        <f>SUM(E119:N119)/10</f>
        <v>1.8101782255619855E-2</v>
      </c>
    </row>
    <row r="121" spans="2:18" ht="15" customHeight="1" x14ac:dyDescent="0.45">
      <c r="B121" s="145"/>
      <c r="C121" s="147"/>
      <c r="D121" s="17" t="s">
        <v>53</v>
      </c>
      <c r="E121" s="18">
        <f t="shared" ref="E121:N121" si="64">E$18*(E119/E$20)</f>
        <v>5.3571428571428568E-2</v>
      </c>
      <c r="F121" s="18">
        <f t="shared" si="64"/>
        <v>9.1836734693877542E-2</v>
      </c>
      <c r="G121" s="18">
        <f t="shared" si="64"/>
        <v>0.11916909620991251</v>
      </c>
      <c r="H121" s="18">
        <f t="shared" si="64"/>
        <v>0.138692211578509</v>
      </c>
      <c r="I121" s="18">
        <f t="shared" si="64"/>
        <v>0.15263729398464926</v>
      </c>
      <c r="J121" s="18">
        <f t="shared" si="64"/>
        <v>0.16259806713189232</v>
      </c>
      <c r="K121" s="18">
        <f t="shared" si="64"/>
        <v>0.16971290509420872</v>
      </c>
      <c r="L121" s="18">
        <f t="shared" si="64"/>
        <v>0.17479493221014886</v>
      </c>
      <c r="M121" s="18">
        <f t="shared" si="64"/>
        <v>0.17842495157867824</v>
      </c>
      <c r="N121" s="18">
        <f t="shared" si="64"/>
        <v>0.18101782255619903</v>
      </c>
    </row>
    <row r="122" spans="2:18" ht="15" customHeight="1" x14ac:dyDescent="0.45">
      <c r="B122" s="145"/>
      <c r="C122" s="148"/>
      <c r="D122" s="21" t="s">
        <v>59</v>
      </c>
      <c r="E122" s="22">
        <f>10*E119</f>
        <v>0.5357142857142857</v>
      </c>
      <c r="F122" s="22">
        <f t="shared" ref="F122:N122" si="65">10*F119</f>
        <v>0.38265306122448983</v>
      </c>
      <c r="G122" s="22">
        <f t="shared" si="65"/>
        <v>0.27332361516034986</v>
      </c>
      <c r="H122" s="22">
        <f t="shared" si="65"/>
        <v>0.19523115368596416</v>
      </c>
      <c r="I122" s="22">
        <f t="shared" si="65"/>
        <v>0.13945082406140299</v>
      </c>
      <c r="J122" s="22">
        <f t="shared" si="65"/>
        <v>9.9607731472430711E-2</v>
      </c>
      <c r="K122" s="22">
        <f t="shared" si="65"/>
        <v>7.1148379623164781E-2</v>
      </c>
      <c r="L122" s="22">
        <f t="shared" si="65"/>
        <v>5.0820271159403421E-2</v>
      </c>
      <c r="M122" s="22">
        <f t="shared" si="65"/>
        <v>3.6300193685288154E-2</v>
      </c>
      <c r="N122" s="22">
        <f t="shared" si="65"/>
        <v>2.5928709775205824E-2</v>
      </c>
      <c r="R122" s="13"/>
    </row>
    <row r="123" spans="2:18" ht="15" customHeight="1" x14ac:dyDescent="0.45">
      <c r="B123" s="145"/>
      <c r="C123" s="148"/>
      <c r="D123" s="21" t="s">
        <v>60</v>
      </c>
      <c r="E123" s="22">
        <f>10*E121</f>
        <v>0.5357142857142857</v>
      </c>
      <c r="F123" s="22">
        <f>10*F121</f>
        <v>0.91836734693877542</v>
      </c>
      <c r="G123" s="22">
        <f>10*G121</f>
        <v>1.1916909620991252</v>
      </c>
      <c r="H123" s="22">
        <f t="shared" ref="H123:N123" si="66">10*H121</f>
        <v>1.3869221157850899</v>
      </c>
      <c r="I123" s="22">
        <f t="shared" si="66"/>
        <v>1.5263729398464925</v>
      </c>
      <c r="J123" s="22">
        <f t="shared" si="66"/>
        <v>1.6259806713189231</v>
      </c>
      <c r="K123" s="22">
        <f t="shared" si="66"/>
        <v>1.6971290509420873</v>
      </c>
      <c r="L123" s="22">
        <f t="shared" si="66"/>
        <v>1.7479493221014886</v>
      </c>
      <c r="M123" s="22">
        <f t="shared" si="66"/>
        <v>1.7842495157867824</v>
      </c>
      <c r="N123" s="22">
        <f t="shared" si="66"/>
        <v>1.8101782255619903</v>
      </c>
      <c r="R123" s="13"/>
    </row>
    <row r="124" spans="2:18" ht="15" customHeight="1" x14ac:dyDescent="0.45">
      <c r="B124" s="145"/>
      <c r="C124" s="149" t="s">
        <v>45</v>
      </c>
      <c r="D124" s="17" t="s">
        <v>55</v>
      </c>
      <c r="E124" s="18">
        <f>$E$11*$E$12</f>
        <v>7.4999999999999997E-2</v>
      </c>
      <c r="F124" s="18">
        <f t="shared" ref="F124:N124" si="67">$E$11*$E$12</f>
        <v>7.4999999999999997E-2</v>
      </c>
      <c r="G124" s="18">
        <f t="shared" si="67"/>
        <v>7.4999999999999997E-2</v>
      </c>
      <c r="H124" s="18">
        <f t="shared" si="67"/>
        <v>7.4999999999999997E-2</v>
      </c>
      <c r="I124" s="18">
        <f t="shared" si="67"/>
        <v>7.4999999999999997E-2</v>
      </c>
      <c r="J124" s="18">
        <f t="shared" si="67"/>
        <v>7.4999999999999997E-2</v>
      </c>
      <c r="K124" s="18">
        <f t="shared" si="67"/>
        <v>7.4999999999999997E-2</v>
      </c>
      <c r="L124" s="18">
        <f t="shared" si="67"/>
        <v>7.4999999999999997E-2</v>
      </c>
      <c r="M124" s="18">
        <f t="shared" si="67"/>
        <v>7.4999999999999997E-2</v>
      </c>
      <c r="N124" s="18">
        <f t="shared" si="67"/>
        <v>7.4999999999999997E-2</v>
      </c>
    </row>
    <row r="125" spans="2:18" ht="15" customHeight="1" x14ac:dyDescent="0.45">
      <c r="B125" s="145"/>
      <c r="C125" s="148"/>
      <c r="D125" s="21" t="s">
        <v>59</v>
      </c>
      <c r="E125" s="23">
        <f>E122*E$16</f>
        <v>75000</v>
      </c>
      <c r="F125" s="23">
        <f t="shared" ref="F125:N125" si="68">F122*F$16</f>
        <v>75000</v>
      </c>
      <c r="G125" s="23">
        <f t="shared" si="68"/>
        <v>75000</v>
      </c>
      <c r="H125" s="23">
        <f t="shared" si="68"/>
        <v>75000</v>
      </c>
      <c r="I125" s="23">
        <f t="shared" si="68"/>
        <v>75000</v>
      </c>
      <c r="J125" s="23">
        <f t="shared" si="68"/>
        <v>75000</v>
      </c>
      <c r="K125" s="23">
        <f t="shared" si="68"/>
        <v>75000</v>
      </c>
      <c r="L125" s="23">
        <f t="shared" si="68"/>
        <v>75000</v>
      </c>
      <c r="M125" s="23">
        <f t="shared" si="68"/>
        <v>75000</v>
      </c>
      <c r="N125" s="23">
        <f t="shared" si="68"/>
        <v>75000</v>
      </c>
    </row>
    <row r="126" spans="2:18" ht="15" customHeight="1" x14ac:dyDescent="0.45">
      <c r="B126" s="145"/>
      <c r="C126" s="148"/>
      <c r="D126" s="21" t="s">
        <v>60</v>
      </c>
      <c r="E126" s="23">
        <f>E125</f>
        <v>75000</v>
      </c>
      <c r="F126" s="23">
        <f>E126+F125</f>
        <v>150000</v>
      </c>
      <c r="G126" s="23">
        <f t="shared" ref="G126:N126" si="69">F126+G125</f>
        <v>225000</v>
      </c>
      <c r="H126" s="23">
        <f t="shared" si="69"/>
        <v>300000</v>
      </c>
      <c r="I126" s="23">
        <f t="shared" si="69"/>
        <v>375000</v>
      </c>
      <c r="J126" s="23">
        <f t="shared" si="69"/>
        <v>450000</v>
      </c>
      <c r="K126" s="23">
        <f t="shared" si="69"/>
        <v>525000</v>
      </c>
      <c r="L126" s="23">
        <f t="shared" si="69"/>
        <v>600000</v>
      </c>
      <c r="M126" s="23">
        <f t="shared" si="69"/>
        <v>675000</v>
      </c>
      <c r="N126" s="23">
        <f t="shared" si="69"/>
        <v>750000</v>
      </c>
    </row>
    <row r="127" spans="2:18" ht="15" customHeight="1" x14ac:dyDescent="0.45">
      <c r="B127" s="145"/>
      <c r="C127" s="149" t="s">
        <v>44</v>
      </c>
      <c r="D127" s="17" t="s">
        <v>55</v>
      </c>
      <c r="E127" s="18">
        <f>E121*E$16/$E$4</f>
        <v>7.4999999999999997E-2</v>
      </c>
      <c r="F127" s="18">
        <f>F121*F$16/$E$4-E127</f>
        <v>0.105</v>
      </c>
      <c r="G127" s="18">
        <f>G121*G$16/$E$4-F127-E127</f>
        <v>0.14699999999999991</v>
      </c>
      <c r="H127" s="18">
        <f>H121*H$16/$E$4-G127-F127-E127</f>
        <v>0.20580000000000026</v>
      </c>
      <c r="I127" s="18">
        <f>I121*I$16/$E$4-H127-G127-F127-E127</f>
        <v>0.28811999999999977</v>
      </c>
      <c r="J127" s="18">
        <f>J121*J$16/$E$4-I127-H127-G127-F127-E127</f>
        <v>0.403368</v>
      </c>
      <c r="K127" s="18">
        <f>K121*K$16/$E$4-J127-I127-H127-G127-F127-E127</f>
        <v>0.56471519999999942</v>
      </c>
      <c r="L127" s="18">
        <f>L121*L$16/$E$4-K127-J127-I127-H127-G127-F127-E127</f>
        <v>0.79060127999999696</v>
      </c>
      <c r="M127" s="18">
        <f>M121*M$16/$E$4-L127-K127-J127-I127-H127-G127-F127-E127</f>
        <v>1.1068417920000095</v>
      </c>
      <c r="N127" s="18">
        <f>N121*N$16/$E$4-M127-L127-K127-J127-I127-H127-G127-F127-E127</f>
        <v>1.5495785088000085</v>
      </c>
      <c r="R127" s="16"/>
    </row>
    <row r="128" spans="2:18" ht="15" customHeight="1" x14ac:dyDescent="0.45">
      <c r="B128" s="145"/>
      <c r="C128" s="147"/>
      <c r="D128" s="17" t="s">
        <v>56</v>
      </c>
      <c r="E128" s="19"/>
      <c r="F128" s="19"/>
      <c r="G128" s="19"/>
      <c r="H128" s="19"/>
      <c r="I128" s="19">
        <f>SUM(E127:I127)/5</f>
        <v>0.16418399999999997</v>
      </c>
      <c r="J128" s="19"/>
      <c r="K128" s="19"/>
      <c r="L128" s="19"/>
      <c r="M128" s="19"/>
      <c r="N128" s="19">
        <f>SUM(E127:N127)/10</f>
        <v>0.52360247808000149</v>
      </c>
    </row>
    <row r="129" spans="1:18" ht="15" customHeight="1" x14ac:dyDescent="0.45">
      <c r="B129" s="145"/>
      <c r="C129" s="148"/>
      <c r="D129" s="21" t="s">
        <v>59</v>
      </c>
      <c r="E129" s="24">
        <f>E131</f>
        <v>75000</v>
      </c>
      <c r="F129" s="24">
        <f>F131-E131</f>
        <v>104999.99999999997</v>
      </c>
      <c r="G129" s="24">
        <f t="shared" ref="G129:N129" si="70">G131-F131</f>
        <v>146999.99999999997</v>
      </c>
      <c r="H129" s="24">
        <f t="shared" si="70"/>
        <v>205800.00000000017</v>
      </c>
      <c r="I129" s="24">
        <f t="shared" si="70"/>
        <v>288119.99999999988</v>
      </c>
      <c r="J129" s="24">
        <f t="shared" si="70"/>
        <v>403367.99999999977</v>
      </c>
      <c r="K129" s="24">
        <f t="shared" si="70"/>
        <v>564715.19999999949</v>
      </c>
      <c r="L129" s="24">
        <f t="shared" si="70"/>
        <v>790601.27999999654</v>
      </c>
      <c r="M129" s="24">
        <f t="shared" si="70"/>
        <v>1106841.7920000101</v>
      </c>
      <c r="N129" s="24">
        <f t="shared" si="70"/>
        <v>1549578.5088000088</v>
      </c>
    </row>
    <row r="130" spans="1:18" ht="15" customHeight="1" x14ac:dyDescent="0.45">
      <c r="B130" s="145"/>
      <c r="C130" s="148"/>
      <c r="D130" s="21" t="s">
        <v>61</v>
      </c>
      <c r="E130" s="24"/>
      <c r="F130" s="24"/>
      <c r="G130" s="24"/>
      <c r="H130" s="24"/>
      <c r="I130" s="24">
        <f>SUM(E129:I129)/5</f>
        <v>164184</v>
      </c>
      <c r="J130" s="24"/>
      <c r="K130" s="24"/>
      <c r="L130" s="24"/>
      <c r="M130" s="24"/>
      <c r="N130" s="24">
        <f>SUM(E129:N129)/10</f>
        <v>523602.47808000149</v>
      </c>
    </row>
    <row r="131" spans="1:18" ht="15" customHeight="1" x14ac:dyDescent="0.45">
      <c r="B131" s="142"/>
      <c r="C131" s="148"/>
      <c r="D131" s="21" t="s">
        <v>60</v>
      </c>
      <c r="E131" s="23">
        <f t="shared" ref="E131:N131" si="71">E123*E$16</f>
        <v>75000</v>
      </c>
      <c r="F131" s="23">
        <f t="shared" si="71"/>
        <v>179999.99999999997</v>
      </c>
      <c r="G131" s="23">
        <f t="shared" si="71"/>
        <v>326999.99999999994</v>
      </c>
      <c r="H131" s="23">
        <f t="shared" si="71"/>
        <v>532800.00000000012</v>
      </c>
      <c r="I131" s="23">
        <f t="shared" si="71"/>
        <v>820920</v>
      </c>
      <c r="J131" s="23">
        <f t="shared" si="71"/>
        <v>1224287.9999999998</v>
      </c>
      <c r="K131" s="23">
        <f t="shared" si="71"/>
        <v>1789003.1999999993</v>
      </c>
      <c r="L131" s="23">
        <f t="shared" si="71"/>
        <v>2579604.4799999958</v>
      </c>
      <c r="M131" s="23">
        <f t="shared" si="71"/>
        <v>3686446.2720000059</v>
      </c>
      <c r="N131" s="23">
        <f t="shared" si="71"/>
        <v>5236024.7808000147</v>
      </c>
    </row>
    <row r="132" spans="1:18" s="5" customFormat="1" ht="15" customHeight="1" x14ac:dyDescent="0.45">
      <c r="B132" s="148" t="s">
        <v>18</v>
      </c>
      <c r="C132" s="147" t="s">
        <v>41</v>
      </c>
      <c r="D132" s="17" t="s">
        <v>55</v>
      </c>
      <c r="E132" s="18">
        <f>E92+E105+E119</f>
        <v>0.23699999999999999</v>
      </c>
      <c r="F132" s="18">
        <f t="shared" ref="F132:N132" si="72">F92+F105+F119</f>
        <v>0.17271428571428571</v>
      </c>
      <c r="G132" s="18">
        <f t="shared" si="72"/>
        <v>0.12679591836734697</v>
      </c>
      <c r="H132" s="18">
        <f t="shared" si="72"/>
        <v>9.3997084548104931E-2</v>
      </c>
      <c r="I132" s="18">
        <f t="shared" si="72"/>
        <v>7.0569346105789257E-2</v>
      </c>
      <c r="J132" s="18">
        <f t="shared" si="72"/>
        <v>5.3835247218420895E-2</v>
      </c>
      <c r="K132" s="18">
        <f t="shared" si="72"/>
        <v>4.1882319441729224E-2</v>
      </c>
      <c r="L132" s="18">
        <f t="shared" si="72"/>
        <v>3.3344513886949464E-2</v>
      </c>
      <c r="M132" s="18">
        <f t="shared" si="72"/>
        <v>2.7246081347821006E-2</v>
      </c>
      <c r="N132" s="18">
        <f t="shared" si="72"/>
        <v>2.2890058105586426E-2</v>
      </c>
      <c r="P132" s="2"/>
      <c r="Q132" s="2"/>
      <c r="R132" s="2"/>
    </row>
    <row r="133" spans="1:18" s="5" customFormat="1" ht="15" customHeight="1" x14ac:dyDescent="0.45">
      <c r="B133" s="148"/>
      <c r="C133" s="147"/>
      <c r="D133" s="17" t="s">
        <v>56</v>
      </c>
      <c r="E133" s="18"/>
      <c r="F133" s="18"/>
      <c r="G133" s="18"/>
      <c r="H133" s="18"/>
      <c r="I133" s="44">
        <f>SUM(E132:I132)/5</f>
        <v>0.14021532694710537</v>
      </c>
      <c r="J133" s="18"/>
      <c r="K133" s="18"/>
      <c r="L133" s="18"/>
      <c r="M133" s="18"/>
      <c r="N133" s="19">
        <f>SUM(E132:N132)/10</f>
        <v>8.8027485473603395E-2</v>
      </c>
      <c r="P133" s="2"/>
      <c r="Q133" s="2"/>
      <c r="R133" s="2"/>
    </row>
    <row r="134" spans="1:18" ht="15" customHeight="1" x14ac:dyDescent="0.45">
      <c r="B134" s="148"/>
      <c r="C134" s="147"/>
      <c r="D134" s="17" t="s">
        <v>53</v>
      </c>
      <c r="E134" s="18">
        <f>E94+E106</f>
        <v>0.18342857142857141</v>
      </c>
      <c r="F134" s="18">
        <f t="shared" ref="F134:N134" si="73">F94+F106</f>
        <v>0.31787755102040816</v>
      </c>
      <c r="G134" s="18">
        <f t="shared" si="73"/>
        <v>0.41734110787172007</v>
      </c>
      <c r="H134" s="18">
        <f t="shared" si="73"/>
        <v>0.49181507705122862</v>
      </c>
      <c r="I134" s="18">
        <f t="shared" si="73"/>
        <v>0.54843934075087764</v>
      </c>
      <c r="J134" s="18">
        <f t="shared" si="73"/>
        <v>0.59231381482205547</v>
      </c>
      <c r="K134" s="18">
        <f t="shared" si="73"/>
        <v>0.62708129630146814</v>
      </c>
      <c r="L134" s="18">
        <f t="shared" si="73"/>
        <v>0.6553437830724772</v>
      </c>
      <c r="M134" s="18">
        <f t="shared" si="73"/>
        <v>0.67895984505176943</v>
      </c>
      <c r="N134" s="18">
        <f t="shared" si="73"/>
        <v>0.69925703217983526</v>
      </c>
    </row>
    <row r="135" spans="1:18" ht="15" customHeight="1" x14ac:dyDescent="0.45">
      <c r="B135" s="148"/>
      <c r="C135" s="148"/>
      <c r="D135" s="21" t="s">
        <v>59</v>
      </c>
      <c r="E135" s="22">
        <f>10*E132</f>
        <v>2.37</v>
      </c>
      <c r="F135" s="22">
        <f t="shared" ref="F135:N135" si="74">10*F132</f>
        <v>1.7271428571428571</v>
      </c>
      <c r="G135" s="22">
        <f t="shared" si="74"/>
        <v>1.2679591836734696</v>
      </c>
      <c r="H135" s="22">
        <f t="shared" si="74"/>
        <v>0.93997084548104937</v>
      </c>
      <c r="I135" s="22">
        <f t="shared" si="74"/>
        <v>0.70569346105789255</v>
      </c>
      <c r="J135" s="22">
        <f t="shared" si="74"/>
        <v>0.53835247218420901</v>
      </c>
      <c r="K135" s="22">
        <f t="shared" si="74"/>
        <v>0.41882319441729221</v>
      </c>
      <c r="L135" s="22">
        <f t="shared" si="74"/>
        <v>0.33344513886949467</v>
      </c>
      <c r="M135" s="22">
        <f t="shared" si="74"/>
        <v>0.27246081347821005</v>
      </c>
      <c r="N135" s="22">
        <f t="shared" si="74"/>
        <v>0.22890058105586425</v>
      </c>
    </row>
    <row r="136" spans="1:18" ht="15" customHeight="1" x14ac:dyDescent="0.45">
      <c r="B136" s="148"/>
      <c r="C136" s="148"/>
      <c r="D136" s="21" t="s">
        <v>60</v>
      </c>
      <c r="E136" s="22">
        <f>10*E134</f>
        <v>1.8342857142857141</v>
      </c>
      <c r="F136" s="22">
        <f>10*F134</f>
        <v>3.1787755102040816</v>
      </c>
      <c r="G136" s="22">
        <f>10*G134</f>
        <v>4.1734110787172005</v>
      </c>
      <c r="H136" s="22">
        <f t="shared" ref="H136:N136" si="75">10*H134</f>
        <v>4.9181507705122858</v>
      </c>
      <c r="I136" s="22">
        <f t="shared" si="75"/>
        <v>5.4843934075087759</v>
      </c>
      <c r="J136" s="22">
        <f t="shared" si="75"/>
        <v>5.9231381482205547</v>
      </c>
      <c r="K136" s="22">
        <f t="shared" si="75"/>
        <v>6.2708129630146816</v>
      </c>
      <c r="L136" s="22">
        <f t="shared" si="75"/>
        <v>6.5534378307247723</v>
      </c>
      <c r="M136" s="22">
        <f t="shared" si="75"/>
        <v>6.7895984505176941</v>
      </c>
      <c r="N136" s="22">
        <f t="shared" si="75"/>
        <v>6.9925703217983521</v>
      </c>
    </row>
    <row r="137" spans="1:18" ht="15" customHeight="1" x14ac:dyDescent="0.45">
      <c r="B137" s="148"/>
      <c r="C137" s="149" t="s">
        <v>45</v>
      </c>
      <c r="D137" s="17" t="s">
        <v>55</v>
      </c>
      <c r="E137" s="18">
        <f>E97+E109+E124</f>
        <v>0.33179999999999998</v>
      </c>
      <c r="F137" s="18">
        <f t="shared" ref="F137:N137" si="76">F97+F109+F124</f>
        <v>0.33851999999999999</v>
      </c>
      <c r="G137" s="18">
        <f t="shared" si="76"/>
        <v>0.34792800000000007</v>
      </c>
      <c r="H137" s="18">
        <f t="shared" si="76"/>
        <v>0.3610991999999999</v>
      </c>
      <c r="I137" s="18">
        <f t="shared" si="76"/>
        <v>0.37953887999999997</v>
      </c>
      <c r="J137" s="18">
        <f t="shared" si="76"/>
        <v>0.40535443199999999</v>
      </c>
      <c r="K137" s="18">
        <f t="shared" si="76"/>
        <v>0.44149620480000012</v>
      </c>
      <c r="L137" s="18">
        <f t="shared" si="76"/>
        <v>0.49209468672000045</v>
      </c>
      <c r="M137" s="18">
        <f t="shared" si="76"/>
        <v>0.56293256140799952</v>
      </c>
      <c r="N137" s="18">
        <f t="shared" si="76"/>
        <v>0.6621055859711994</v>
      </c>
    </row>
    <row r="138" spans="1:18" ht="15" customHeight="1" x14ac:dyDescent="0.45">
      <c r="B138" s="148"/>
      <c r="C138" s="147"/>
      <c r="D138" s="17" t="s">
        <v>56</v>
      </c>
      <c r="E138" s="18"/>
      <c r="F138" s="18"/>
      <c r="G138" s="18"/>
      <c r="H138" s="18"/>
      <c r="I138" s="19">
        <f>SUM(E137:I137)/5</f>
        <v>0.351777216</v>
      </c>
      <c r="J138" s="19"/>
      <c r="K138" s="19"/>
      <c r="L138" s="19"/>
      <c r="M138" s="19"/>
      <c r="N138" s="19">
        <f>SUM(E137:N137)/10</f>
        <v>0.43228695508991999</v>
      </c>
    </row>
    <row r="139" spans="1:18" ht="15" customHeight="1" x14ac:dyDescent="0.45">
      <c r="B139" s="148"/>
      <c r="C139" s="148"/>
      <c r="D139" s="21" t="s">
        <v>59</v>
      </c>
      <c r="E139" s="24">
        <f t="shared" ref="E139:N139" si="77">E135*E$16</f>
        <v>331800</v>
      </c>
      <c r="F139" s="24">
        <f t="shared" si="77"/>
        <v>338520</v>
      </c>
      <c r="G139" s="24">
        <f t="shared" si="77"/>
        <v>347928.00000000006</v>
      </c>
      <c r="H139" s="24">
        <f t="shared" si="77"/>
        <v>361099.19999999995</v>
      </c>
      <c r="I139" s="24">
        <f t="shared" si="77"/>
        <v>379538.88</v>
      </c>
      <c r="J139" s="24">
        <f t="shared" si="77"/>
        <v>405354.43200000003</v>
      </c>
      <c r="K139" s="24">
        <f t="shared" si="77"/>
        <v>441496.20480000012</v>
      </c>
      <c r="L139" s="24">
        <f t="shared" si="77"/>
        <v>492094.68672000046</v>
      </c>
      <c r="M139" s="24">
        <f t="shared" si="77"/>
        <v>562932.5614079996</v>
      </c>
      <c r="N139" s="24">
        <f t="shared" si="77"/>
        <v>662105.58597119944</v>
      </c>
    </row>
    <row r="140" spans="1:18" ht="15" customHeight="1" x14ac:dyDescent="0.45">
      <c r="B140" s="148"/>
      <c r="C140" s="148"/>
      <c r="D140" s="21" t="s">
        <v>61</v>
      </c>
      <c r="E140" s="23"/>
      <c r="F140" s="23"/>
      <c r="G140" s="23"/>
      <c r="H140" s="23"/>
      <c r="I140" s="24">
        <f>SUM(E139:I139)/5</f>
        <v>351777.21600000001</v>
      </c>
      <c r="J140" s="24"/>
      <c r="K140" s="24"/>
      <c r="L140" s="24"/>
      <c r="M140" s="24"/>
      <c r="N140" s="24">
        <f>SUM(E139:N139)/10</f>
        <v>432286.95508992003</v>
      </c>
    </row>
    <row r="141" spans="1:18" ht="15" customHeight="1" x14ac:dyDescent="0.45">
      <c r="B141" s="148"/>
      <c r="C141" s="148"/>
      <c r="D141" s="21" t="s">
        <v>60</v>
      </c>
      <c r="E141" s="23">
        <f>E139</f>
        <v>331800</v>
      </c>
      <c r="F141" s="23">
        <f t="shared" ref="F141:N141" si="78">E141+F139</f>
        <v>670320</v>
      </c>
      <c r="G141" s="23">
        <f t="shared" si="78"/>
        <v>1018248</v>
      </c>
      <c r="H141" s="23">
        <f t="shared" si="78"/>
        <v>1379347.2</v>
      </c>
      <c r="I141" s="23">
        <f t="shared" si="78"/>
        <v>1758886.08</v>
      </c>
      <c r="J141" s="23">
        <f t="shared" si="78"/>
        <v>2164240.5120000001</v>
      </c>
      <c r="K141" s="23">
        <f t="shared" si="78"/>
        <v>2605736.7168000001</v>
      </c>
      <c r="L141" s="23">
        <f t="shared" si="78"/>
        <v>3097831.4035200006</v>
      </c>
      <c r="M141" s="23">
        <f t="shared" si="78"/>
        <v>3660763.9649280002</v>
      </c>
      <c r="N141" s="23">
        <f t="shared" si="78"/>
        <v>4322869.5508992001</v>
      </c>
    </row>
    <row r="142" spans="1:18" ht="15" customHeight="1" x14ac:dyDescent="0.45">
      <c r="B142" s="148"/>
      <c r="C142" s="149" t="s">
        <v>44</v>
      </c>
      <c r="D142" s="17" t="s">
        <v>55</v>
      </c>
      <c r="E142" s="18">
        <f>E100+E114+E127</f>
        <v>0.33179999999999998</v>
      </c>
      <c r="F142" s="18">
        <f t="shared" ref="F142:N142" si="79">F100+F114+F127</f>
        <v>0.47123999999999994</v>
      </c>
      <c r="G142" s="18">
        <f t="shared" si="79"/>
        <v>0.66914399999999996</v>
      </c>
      <c r="H142" s="18">
        <f t="shared" si="79"/>
        <v>0.94997280000000051</v>
      </c>
      <c r="I142" s="18">
        <f t="shared" si="79"/>
        <v>1.3484015999999992</v>
      </c>
      <c r="J142" s="18">
        <f t="shared" si="79"/>
        <v>1.9135777919999999</v>
      </c>
      <c r="K142" s="18">
        <f t="shared" si="79"/>
        <v>2.7151506815999999</v>
      </c>
      <c r="L142" s="18">
        <f t="shared" si="79"/>
        <v>3.8518094361599973</v>
      </c>
      <c r="M142" s="18">
        <f t="shared" si="79"/>
        <v>5.4633710853120103</v>
      </c>
      <c r="N142" s="18">
        <f t="shared" si="79"/>
        <v>7.7478925440000088</v>
      </c>
    </row>
    <row r="143" spans="1:18" ht="15" customHeight="1" x14ac:dyDescent="0.45">
      <c r="A143" s="9"/>
      <c r="B143" s="148"/>
      <c r="C143" s="147"/>
      <c r="D143" s="17" t="s">
        <v>56</v>
      </c>
      <c r="E143" s="19"/>
      <c r="F143" s="19"/>
      <c r="G143" s="19"/>
      <c r="H143" s="19"/>
      <c r="I143" s="19">
        <f>SUM(E142:I142)/5</f>
        <v>0.75411167999999995</v>
      </c>
      <c r="J143" s="19"/>
      <c r="K143" s="19"/>
      <c r="L143" s="19"/>
      <c r="M143" s="19"/>
      <c r="N143" s="19">
        <f>SUM(E142:N142)/10</f>
        <v>2.5462359939072017</v>
      </c>
      <c r="O143" s="9"/>
    </row>
    <row r="144" spans="1:18" ht="15" customHeight="1" x14ac:dyDescent="0.45">
      <c r="B144" s="148"/>
      <c r="C144" s="148"/>
      <c r="D144" s="21" t="s">
        <v>59</v>
      </c>
      <c r="E144" s="24">
        <f>E146</f>
        <v>256799.99999999997</v>
      </c>
      <c r="F144" s="24">
        <f>F146-E146</f>
        <v>366240</v>
      </c>
      <c r="G144" s="24">
        <f>G146-F146</f>
        <v>522143.99999999977</v>
      </c>
      <c r="H144" s="24">
        <f t="shared" ref="H144:N144" si="80">H146-G146</f>
        <v>744172.8</v>
      </c>
      <c r="I144" s="24">
        <f t="shared" si="80"/>
        <v>1060281.6000000001</v>
      </c>
      <c r="J144" s="24">
        <f t="shared" si="80"/>
        <v>1510209.7919999999</v>
      </c>
      <c r="K144" s="24">
        <f t="shared" si="80"/>
        <v>2150435.4816000005</v>
      </c>
      <c r="L144" s="24">
        <f t="shared" si="80"/>
        <v>3061208.1561599998</v>
      </c>
      <c r="M144" s="24">
        <f t="shared" si="80"/>
        <v>4356529.2933119982</v>
      </c>
      <c r="N144" s="24">
        <f t="shared" si="80"/>
        <v>6198314.0351999998</v>
      </c>
    </row>
    <row r="145" spans="2:18" ht="15" customHeight="1" x14ac:dyDescent="0.45">
      <c r="B145" s="148"/>
      <c r="C145" s="148"/>
      <c r="D145" s="21" t="s">
        <v>61</v>
      </c>
      <c r="E145" s="24"/>
      <c r="F145" s="24"/>
      <c r="G145" s="24"/>
      <c r="H145" s="24"/>
      <c r="I145" s="24">
        <f>SUM(E144:I144)/5</f>
        <v>589927.67999999993</v>
      </c>
      <c r="J145" s="24"/>
      <c r="K145" s="24"/>
      <c r="L145" s="24"/>
      <c r="M145" s="24"/>
      <c r="N145" s="24">
        <f>SUM(E144:N144)/10</f>
        <v>2022633.5158271999</v>
      </c>
    </row>
    <row r="146" spans="2:18" ht="15" customHeight="1" x14ac:dyDescent="0.45">
      <c r="B146" s="148"/>
      <c r="C146" s="148"/>
      <c r="D146" s="21" t="s">
        <v>60</v>
      </c>
      <c r="E146" s="23">
        <f t="shared" ref="E146:N146" si="81">E136*E$16</f>
        <v>256799.99999999997</v>
      </c>
      <c r="F146" s="23">
        <f t="shared" si="81"/>
        <v>623040</v>
      </c>
      <c r="G146" s="23">
        <f t="shared" si="81"/>
        <v>1145183.9999999998</v>
      </c>
      <c r="H146" s="23">
        <f t="shared" si="81"/>
        <v>1889356.7999999998</v>
      </c>
      <c r="I146" s="23">
        <f t="shared" si="81"/>
        <v>2949638.4</v>
      </c>
      <c r="J146" s="23">
        <f t="shared" si="81"/>
        <v>4459848.1919999998</v>
      </c>
      <c r="K146" s="23">
        <f t="shared" si="81"/>
        <v>6610283.6736000003</v>
      </c>
      <c r="L146" s="23">
        <f t="shared" si="81"/>
        <v>9671491.8297600001</v>
      </c>
      <c r="M146" s="23">
        <f t="shared" si="81"/>
        <v>14028021.123071998</v>
      </c>
      <c r="N146" s="23">
        <f t="shared" si="81"/>
        <v>20226335.158271998</v>
      </c>
    </row>
    <row r="147" spans="2:18" ht="15" customHeight="1" x14ac:dyDescent="0.45">
      <c r="B147" s="1"/>
      <c r="C147" s="1"/>
      <c r="D147" s="48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8" ht="15" customHeight="1" x14ac:dyDescent="0.45">
      <c r="B148" s="156" t="s">
        <v>39</v>
      </c>
      <c r="C148" s="156" t="s">
        <v>69</v>
      </c>
      <c r="D148" s="156" t="s">
        <v>68</v>
      </c>
      <c r="E148" s="139" t="s">
        <v>3</v>
      </c>
      <c r="F148" s="139" t="s">
        <v>4</v>
      </c>
      <c r="G148" s="139" t="s">
        <v>5</v>
      </c>
      <c r="H148" s="139" t="s">
        <v>6</v>
      </c>
      <c r="I148" s="139" t="s">
        <v>7</v>
      </c>
      <c r="J148" s="139" t="s">
        <v>8</v>
      </c>
      <c r="K148" s="139" t="s">
        <v>9</v>
      </c>
      <c r="L148" s="139" t="s">
        <v>10</v>
      </c>
      <c r="M148" s="139" t="s">
        <v>11</v>
      </c>
      <c r="N148" s="139" t="s">
        <v>12</v>
      </c>
    </row>
    <row r="149" spans="2:18" ht="15" customHeight="1" x14ac:dyDescent="0.45">
      <c r="B149" s="157"/>
      <c r="C149" s="157"/>
      <c r="D149" s="157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</row>
    <row r="150" spans="2:18" s="5" customFormat="1" ht="15" customHeight="1" x14ac:dyDescent="0.45">
      <c r="B150" s="142" t="s">
        <v>16</v>
      </c>
      <c r="C150" s="158">
        <v>20000</v>
      </c>
      <c r="D150" s="59" t="s">
        <v>19</v>
      </c>
      <c r="E150" s="29">
        <f>E$95*$C150/20</f>
        <v>1714.2857142857142</v>
      </c>
      <c r="F150" s="29">
        <f t="shared" ref="F150:N150" si="82">F$95*$C150/20</f>
        <v>1224.4897959183675</v>
      </c>
      <c r="G150" s="29">
        <f t="shared" si="82"/>
        <v>874.63556851311967</v>
      </c>
      <c r="H150" s="29">
        <f t="shared" si="82"/>
        <v>624.73969179508515</v>
      </c>
      <c r="I150" s="29">
        <f t="shared" si="82"/>
        <v>446.24263699648952</v>
      </c>
      <c r="J150" s="29">
        <f t="shared" si="82"/>
        <v>318.74474071177826</v>
      </c>
      <c r="K150" s="29">
        <f t="shared" si="82"/>
        <v>227.6748147941274</v>
      </c>
      <c r="L150" s="29">
        <f t="shared" si="82"/>
        <v>162.62486771009122</v>
      </c>
      <c r="M150" s="29">
        <f t="shared" si="82"/>
        <v>116.16061979292192</v>
      </c>
      <c r="N150" s="29">
        <f t="shared" si="82"/>
        <v>82.971871280658405</v>
      </c>
      <c r="P150" s="2"/>
      <c r="Q150" s="2"/>
      <c r="R150" s="2"/>
    </row>
    <row r="151" spans="2:18" s="5" customFormat="1" ht="15" customHeight="1" x14ac:dyDescent="0.45">
      <c r="B151" s="148"/>
      <c r="C151" s="159"/>
      <c r="D151" s="21" t="s">
        <v>22</v>
      </c>
      <c r="E151" s="29"/>
      <c r="F151" s="29"/>
      <c r="G151" s="29"/>
      <c r="H151" s="29"/>
      <c r="I151" s="29">
        <f>SUM(E150:I150)/5</f>
        <v>976.8786815017553</v>
      </c>
      <c r="J151" s="29"/>
      <c r="K151" s="29"/>
      <c r="L151" s="29"/>
      <c r="M151" s="29"/>
      <c r="N151" s="29">
        <f>SUM(E150:N150)/10</f>
        <v>579.25703217983528</v>
      </c>
      <c r="P151" s="2"/>
      <c r="Q151" s="2"/>
      <c r="R151" s="2"/>
    </row>
    <row r="152" spans="2:18" s="5" customFormat="1" ht="15" customHeight="1" x14ac:dyDescent="0.45">
      <c r="B152" s="148"/>
      <c r="C152" s="159"/>
      <c r="D152" s="21" t="s">
        <v>52</v>
      </c>
      <c r="E152" s="29">
        <f>E$96*$C150/20</f>
        <v>1714.2857142857142</v>
      </c>
      <c r="F152" s="29">
        <f t="shared" ref="F152:N152" si="83">F$96*$C150/20</f>
        <v>2938.7755102040815</v>
      </c>
      <c r="G152" s="29">
        <f t="shared" si="83"/>
        <v>3813.4110787172008</v>
      </c>
      <c r="H152" s="29">
        <f t="shared" si="83"/>
        <v>4438.1507705122867</v>
      </c>
      <c r="I152" s="29">
        <f t="shared" si="83"/>
        <v>4884.3934075087764</v>
      </c>
      <c r="J152" s="29">
        <f t="shared" si="83"/>
        <v>5203.1381482205543</v>
      </c>
      <c r="K152" s="29">
        <f t="shared" si="83"/>
        <v>5430.8129630146814</v>
      </c>
      <c r="L152" s="29">
        <f t="shared" si="83"/>
        <v>5593.4378307247725</v>
      </c>
      <c r="M152" s="29">
        <f t="shared" si="83"/>
        <v>5709.5984505176939</v>
      </c>
      <c r="N152" s="29">
        <f t="shared" si="83"/>
        <v>5792.5703217983528</v>
      </c>
      <c r="P152" s="2"/>
      <c r="Q152" s="2"/>
      <c r="R152" s="2"/>
    </row>
    <row r="153" spans="2:18" s="5" customFormat="1" ht="15" customHeight="1" x14ac:dyDescent="0.45">
      <c r="B153" s="148"/>
      <c r="C153" s="159">
        <v>400000</v>
      </c>
      <c r="D153" s="59" t="s">
        <v>19</v>
      </c>
      <c r="E153" s="29">
        <f>E$95*$C153/20</f>
        <v>34285.714285714275</v>
      </c>
      <c r="F153" s="29">
        <f t="shared" ref="F153:N153" si="84">F$95*$C153/20</f>
        <v>24489.795918367345</v>
      </c>
      <c r="G153" s="29">
        <f t="shared" si="84"/>
        <v>17492.711370262397</v>
      </c>
      <c r="H153" s="29">
        <f t="shared" si="84"/>
        <v>12494.793835901703</v>
      </c>
      <c r="I153" s="29">
        <f t="shared" si="84"/>
        <v>8924.8527399297909</v>
      </c>
      <c r="J153" s="29">
        <f t="shared" si="84"/>
        <v>6374.8948142355657</v>
      </c>
      <c r="K153" s="29">
        <f t="shared" si="84"/>
        <v>4553.4962958825481</v>
      </c>
      <c r="L153" s="29">
        <f t="shared" si="84"/>
        <v>3252.4973542018242</v>
      </c>
      <c r="M153" s="29">
        <f t="shared" si="84"/>
        <v>2323.2123958584384</v>
      </c>
      <c r="N153" s="29">
        <f t="shared" si="84"/>
        <v>1659.4374256131682</v>
      </c>
      <c r="P153" s="2"/>
      <c r="Q153" s="2"/>
      <c r="R153" s="2"/>
    </row>
    <row r="154" spans="2:18" s="5" customFormat="1" ht="15" customHeight="1" x14ac:dyDescent="0.45">
      <c r="B154" s="148"/>
      <c r="C154" s="159"/>
      <c r="D154" s="21" t="s">
        <v>22</v>
      </c>
      <c r="E154" s="29"/>
      <c r="F154" s="29"/>
      <c r="G154" s="29"/>
      <c r="H154" s="29"/>
      <c r="I154" s="29">
        <f>SUM(E153:I153)/5</f>
        <v>19537.573630035102</v>
      </c>
      <c r="J154" s="29"/>
      <c r="K154" s="29"/>
      <c r="L154" s="29"/>
      <c r="M154" s="29"/>
      <c r="N154" s="29">
        <f>SUM(E153:N153)/10</f>
        <v>11585.140643596706</v>
      </c>
      <c r="P154" s="2"/>
      <c r="Q154" s="2"/>
      <c r="R154" s="2"/>
    </row>
    <row r="155" spans="2:18" s="5" customFormat="1" ht="15" customHeight="1" x14ac:dyDescent="0.45">
      <c r="B155" s="148"/>
      <c r="C155" s="159"/>
      <c r="D155" s="21" t="s">
        <v>52</v>
      </c>
      <c r="E155" s="29">
        <f>E$96*$C153/20</f>
        <v>34285.714285714275</v>
      </c>
      <c r="F155" s="29">
        <f t="shared" ref="F155:N155" si="85">F$96*$C153/20</f>
        <v>58775.51020408162</v>
      </c>
      <c r="G155" s="29">
        <f t="shared" si="85"/>
        <v>76268.221574344017</v>
      </c>
      <c r="H155" s="29">
        <f t="shared" si="85"/>
        <v>88763.015410245716</v>
      </c>
      <c r="I155" s="29">
        <f t="shared" si="85"/>
        <v>97687.86815017552</v>
      </c>
      <c r="J155" s="29">
        <f t="shared" si="85"/>
        <v>104062.76296441109</v>
      </c>
      <c r="K155" s="29">
        <f t="shared" si="85"/>
        <v>108616.25926029363</v>
      </c>
      <c r="L155" s="29">
        <f t="shared" si="85"/>
        <v>111868.75661449545</v>
      </c>
      <c r="M155" s="29">
        <f t="shared" si="85"/>
        <v>114191.96901035387</v>
      </c>
      <c r="N155" s="29">
        <f t="shared" si="85"/>
        <v>115851.40643596704</v>
      </c>
      <c r="P155" s="2"/>
      <c r="Q155" s="2"/>
      <c r="R155" s="2"/>
    </row>
    <row r="156" spans="2:18" s="5" customFormat="1" ht="15" customHeight="1" x14ac:dyDescent="0.45">
      <c r="B156" s="147"/>
      <c r="C156" s="160">
        <v>1000000</v>
      </c>
      <c r="D156" s="17" t="s">
        <v>19</v>
      </c>
      <c r="E156" s="31">
        <f>E$95*$C$156/20</f>
        <v>85714.285714285696</v>
      </c>
      <c r="F156" s="31">
        <f t="shared" ref="F156:N156" si="86">F$95*$C$156/20</f>
        <v>61224.489795918365</v>
      </c>
      <c r="G156" s="31">
        <f t="shared" si="86"/>
        <v>43731.778425655983</v>
      </c>
      <c r="H156" s="31">
        <f t="shared" si="86"/>
        <v>31236.984589754262</v>
      </c>
      <c r="I156" s="31">
        <f t="shared" si="86"/>
        <v>22312.131849824476</v>
      </c>
      <c r="J156" s="31">
        <f t="shared" si="86"/>
        <v>15937.237035588914</v>
      </c>
      <c r="K156" s="31">
        <f t="shared" si="86"/>
        <v>11383.740739706369</v>
      </c>
      <c r="L156" s="31">
        <f t="shared" si="86"/>
        <v>8131.2433855045601</v>
      </c>
      <c r="M156" s="31">
        <f t="shared" si="86"/>
        <v>5808.0309896460958</v>
      </c>
      <c r="N156" s="31">
        <f t="shared" si="86"/>
        <v>4148.5935640329208</v>
      </c>
      <c r="P156" s="2"/>
      <c r="Q156" s="2"/>
      <c r="R156" s="2"/>
    </row>
    <row r="157" spans="2:18" s="5" customFormat="1" ht="15" customHeight="1" x14ac:dyDescent="0.45">
      <c r="B157" s="147"/>
      <c r="C157" s="160"/>
      <c r="D157" s="17" t="s">
        <v>22</v>
      </c>
      <c r="E157" s="31"/>
      <c r="F157" s="31"/>
      <c r="G157" s="31"/>
      <c r="H157" s="31"/>
      <c r="I157" s="31">
        <f>SUM(E156:I156)/5</f>
        <v>48843.93407508776</v>
      </c>
      <c r="J157" s="31"/>
      <c r="K157" s="31"/>
      <c r="L157" s="31"/>
      <c r="M157" s="31"/>
      <c r="N157" s="31">
        <f>SUM(E156:N156)/10</f>
        <v>28962.851608991768</v>
      </c>
      <c r="P157" s="2"/>
      <c r="Q157" s="2"/>
      <c r="R157" s="2"/>
    </row>
    <row r="158" spans="2:18" s="5" customFormat="1" ht="15" customHeight="1" x14ac:dyDescent="0.45">
      <c r="B158" s="147"/>
      <c r="C158" s="160"/>
      <c r="D158" s="17" t="s">
        <v>52</v>
      </c>
      <c r="E158" s="31">
        <f>E$96*$C156/20</f>
        <v>85714.285714285696</v>
      </c>
      <c r="F158" s="31">
        <f t="shared" ref="F158:N158" si="87">F$96*$C156/20</f>
        <v>146938.77551020408</v>
      </c>
      <c r="G158" s="31">
        <f t="shared" si="87"/>
        <v>190670.55393586005</v>
      </c>
      <c r="H158" s="31">
        <f t="shared" si="87"/>
        <v>221907.53852561433</v>
      </c>
      <c r="I158" s="31">
        <f t="shared" si="87"/>
        <v>244219.67037543881</v>
      </c>
      <c r="J158" s="31">
        <f t="shared" si="87"/>
        <v>260156.9074110277</v>
      </c>
      <c r="K158" s="31">
        <f t="shared" si="87"/>
        <v>271540.64815073408</v>
      </c>
      <c r="L158" s="31">
        <f t="shared" si="87"/>
        <v>279671.8915362386</v>
      </c>
      <c r="M158" s="31">
        <f t="shared" si="87"/>
        <v>285479.9225258847</v>
      </c>
      <c r="N158" s="31">
        <f t="shared" si="87"/>
        <v>289628.51608991763</v>
      </c>
      <c r="P158" s="2"/>
      <c r="Q158" s="2"/>
      <c r="R158" s="2"/>
    </row>
    <row r="159" spans="2:18" s="5" customFormat="1" ht="15" customHeight="1" x14ac:dyDescent="0.45">
      <c r="B159" s="147"/>
      <c r="C159" s="160">
        <v>2100000</v>
      </c>
      <c r="D159" s="17" t="s">
        <v>19</v>
      </c>
      <c r="E159" s="31">
        <f>E$95*$C159/20</f>
        <v>179999.99999999997</v>
      </c>
      <c r="F159" s="31">
        <f t="shared" ref="F159:N159" si="88">F$95*$C159/20</f>
        <v>128571.42857142857</v>
      </c>
      <c r="G159" s="31">
        <f t="shared" si="88"/>
        <v>91836.734693877574</v>
      </c>
      <c r="H159" s="31">
        <f t="shared" si="88"/>
        <v>65597.667638483952</v>
      </c>
      <c r="I159" s="31">
        <f t="shared" si="88"/>
        <v>46855.476884631396</v>
      </c>
      <c r="J159" s="31">
        <f t="shared" si="88"/>
        <v>33468.19777473672</v>
      </c>
      <c r="K159" s="31">
        <f t="shared" si="88"/>
        <v>23905.855553383379</v>
      </c>
      <c r="L159" s="31">
        <f t="shared" si="88"/>
        <v>17075.611109559577</v>
      </c>
      <c r="M159" s="31">
        <f t="shared" si="88"/>
        <v>12196.865078256802</v>
      </c>
      <c r="N159" s="31">
        <f t="shared" si="88"/>
        <v>8712.0464844691342</v>
      </c>
      <c r="P159" s="2"/>
      <c r="Q159" s="2"/>
      <c r="R159" s="2"/>
    </row>
    <row r="160" spans="2:18" s="5" customFormat="1" ht="15" customHeight="1" x14ac:dyDescent="0.45">
      <c r="B160" s="147"/>
      <c r="C160" s="160"/>
      <c r="D160" s="17" t="s">
        <v>22</v>
      </c>
      <c r="E160" s="31"/>
      <c r="F160" s="31"/>
      <c r="G160" s="31"/>
      <c r="H160" s="31"/>
      <c r="I160" s="31">
        <f>SUM(E159:I159)/5</f>
        <v>102572.26155768429</v>
      </c>
      <c r="J160" s="31"/>
      <c r="K160" s="31"/>
      <c r="L160" s="31"/>
      <c r="M160" s="31"/>
      <c r="N160" s="31">
        <f>SUM(E159:N159)/10</f>
        <v>60821.988378882699</v>
      </c>
      <c r="P160" s="2"/>
      <c r="Q160" s="2"/>
      <c r="R160" s="2"/>
    </row>
    <row r="161" spans="2:18" s="5" customFormat="1" ht="15" customHeight="1" x14ac:dyDescent="0.45">
      <c r="B161" s="147"/>
      <c r="C161" s="160"/>
      <c r="D161" s="17" t="s">
        <v>52</v>
      </c>
      <c r="E161" s="31">
        <f>E$96*$C159/20</f>
        <v>179999.99999999997</v>
      </c>
      <c r="F161" s="31">
        <f t="shared" ref="F161:N161" si="89">F$96*$C159/20</f>
        <v>308571.42857142852</v>
      </c>
      <c r="G161" s="31">
        <f t="shared" si="89"/>
        <v>400408.16326530615</v>
      </c>
      <c r="H161" s="31">
        <f t="shared" si="89"/>
        <v>466005.83090379008</v>
      </c>
      <c r="I161" s="31">
        <f t="shared" si="89"/>
        <v>512861.30778842152</v>
      </c>
      <c r="J161" s="31">
        <f t="shared" si="89"/>
        <v>546329.50556315819</v>
      </c>
      <c r="K161" s="31">
        <f t="shared" si="89"/>
        <v>570235.36111654155</v>
      </c>
      <c r="L161" s="31">
        <f t="shared" si="89"/>
        <v>587310.97222610109</v>
      </c>
      <c r="M161" s="31">
        <f t="shared" si="89"/>
        <v>599507.8373043579</v>
      </c>
      <c r="N161" s="31">
        <f t="shared" si="89"/>
        <v>608219.88378882711</v>
      </c>
      <c r="P161" s="2"/>
      <c r="Q161" s="2"/>
      <c r="R161" s="2"/>
    </row>
    <row r="162" spans="2:18" s="5" customFormat="1" ht="15" customHeight="1" x14ac:dyDescent="0.45">
      <c r="B162" s="148" t="s">
        <v>17</v>
      </c>
      <c r="C162" s="159">
        <v>20000</v>
      </c>
      <c r="D162" s="59" t="s">
        <v>19</v>
      </c>
      <c r="E162" s="29">
        <f>E$107*$C162/20</f>
        <v>120</v>
      </c>
      <c r="F162" s="29">
        <f t="shared" ref="F162:N162" si="90">F$107*$C162/20</f>
        <v>120</v>
      </c>
      <c r="G162" s="29">
        <f t="shared" si="90"/>
        <v>120</v>
      </c>
      <c r="H162" s="29">
        <f t="shared" si="90"/>
        <v>120</v>
      </c>
      <c r="I162" s="29">
        <f t="shared" si="90"/>
        <v>120</v>
      </c>
      <c r="J162" s="29">
        <f t="shared" si="90"/>
        <v>120</v>
      </c>
      <c r="K162" s="29">
        <f t="shared" si="90"/>
        <v>120</v>
      </c>
      <c r="L162" s="29">
        <f t="shared" si="90"/>
        <v>120</v>
      </c>
      <c r="M162" s="29">
        <f t="shared" si="90"/>
        <v>120</v>
      </c>
      <c r="N162" s="29">
        <f t="shared" si="90"/>
        <v>120</v>
      </c>
      <c r="P162" s="2"/>
      <c r="Q162" s="2"/>
      <c r="R162" s="2"/>
    </row>
    <row r="163" spans="2:18" s="5" customFormat="1" ht="15" customHeight="1" x14ac:dyDescent="0.45">
      <c r="B163" s="148"/>
      <c r="C163" s="159"/>
      <c r="D163" s="21" t="s">
        <v>22</v>
      </c>
      <c r="E163" s="29"/>
      <c r="F163" s="29"/>
      <c r="G163" s="29"/>
      <c r="H163" s="29"/>
      <c r="I163" s="29">
        <f>SUM(E162:I162)/5</f>
        <v>120</v>
      </c>
      <c r="J163" s="29"/>
      <c r="K163" s="29"/>
      <c r="L163" s="29"/>
      <c r="M163" s="29"/>
      <c r="N163" s="29">
        <f>SUM(E162:N162)/10</f>
        <v>120</v>
      </c>
      <c r="P163" s="2"/>
      <c r="Q163" s="2"/>
      <c r="R163" s="2"/>
    </row>
    <row r="164" spans="2:18" s="5" customFormat="1" ht="15" customHeight="1" x14ac:dyDescent="0.45">
      <c r="B164" s="148"/>
      <c r="C164" s="159"/>
      <c r="D164" s="21" t="s">
        <v>52</v>
      </c>
      <c r="E164" s="29">
        <f>E$108*$C162/20</f>
        <v>120</v>
      </c>
      <c r="F164" s="29">
        <f t="shared" ref="F164:N164" si="91">F$108*$C162/20</f>
        <v>240</v>
      </c>
      <c r="G164" s="29">
        <f t="shared" si="91"/>
        <v>360</v>
      </c>
      <c r="H164" s="29">
        <f t="shared" si="91"/>
        <v>480</v>
      </c>
      <c r="I164" s="29">
        <f t="shared" si="91"/>
        <v>600</v>
      </c>
      <c r="J164" s="29">
        <f t="shared" si="91"/>
        <v>720.00000000000011</v>
      </c>
      <c r="K164" s="29">
        <f t="shared" si="91"/>
        <v>840</v>
      </c>
      <c r="L164" s="29">
        <f t="shared" si="91"/>
        <v>960</v>
      </c>
      <c r="M164" s="29">
        <f t="shared" si="91"/>
        <v>1080</v>
      </c>
      <c r="N164" s="29">
        <f t="shared" si="91"/>
        <v>1199.9999999999998</v>
      </c>
      <c r="P164" s="2"/>
      <c r="Q164" s="2"/>
      <c r="R164" s="2"/>
    </row>
    <row r="165" spans="2:18" s="5" customFormat="1" ht="15" customHeight="1" x14ac:dyDescent="0.45">
      <c r="B165" s="148"/>
      <c r="C165" s="159">
        <v>400000</v>
      </c>
      <c r="D165" s="59" t="s">
        <v>19</v>
      </c>
      <c r="E165" s="29">
        <f>E$107*$C165/20</f>
        <v>2400</v>
      </c>
      <c r="F165" s="29">
        <f t="shared" ref="F165:N165" si="92">F$107*$C165/20</f>
        <v>2400</v>
      </c>
      <c r="G165" s="29">
        <f t="shared" si="92"/>
        <v>2400</v>
      </c>
      <c r="H165" s="29">
        <f t="shared" si="92"/>
        <v>2400</v>
      </c>
      <c r="I165" s="29">
        <f t="shared" si="92"/>
        <v>2400</v>
      </c>
      <c r="J165" s="29">
        <f t="shared" si="92"/>
        <v>2400</v>
      </c>
      <c r="K165" s="29">
        <f t="shared" si="92"/>
        <v>2400</v>
      </c>
      <c r="L165" s="29">
        <f t="shared" si="92"/>
        <v>2400</v>
      </c>
      <c r="M165" s="29">
        <f t="shared" si="92"/>
        <v>2400</v>
      </c>
      <c r="N165" s="29">
        <f t="shared" si="92"/>
        <v>2400</v>
      </c>
      <c r="P165" s="2"/>
      <c r="Q165" s="2"/>
      <c r="R165" s="2"/>
    </row>
    <row r="166" spans="2:18" s="5" customFormat="1" ht="15" customHeight="1" x14ac:dyDescent="0.45">
      <c r="B166" s="148"/>
      <c r="C166" s="159"/>
      <c r="D166" s="21" t="s">
        <v>22</v>
      </c>
      <c r="E166" s="29"/>
      <c r="F166" s="29"/>
      <c r="G166" s="29"/>
      <c r="H166" s="29"/>
      <c r="I166" s="29">
        <f>SUM(E165:I165)/5</f>
        <v>2400</v>
      </c>
      <c r="J166" s="29"/>
      <c r="K166" s="29"/>
      <c r="L166" s="29"/>
      <c r="M166" s="29"/>
      <c r="N166" s="29">
        <f>SUM(E165:N165)/10</f>
        <v>2400</v>
      </c>
      <c r="P166" s="2"/>
      <c r="Q166" s="2"/>
      <c r="R166" s="2"/>
    </row>
    <row r="167" spans="2:18" s="5" customFormat="1" ht="15" customHeight="1" x14ac:dyDescent="0.45">
      <c r="B167" s="148"/>
      <c r="C167" s="159"/>
      <c r="D167" s="21" t="s">
        <v>52</v>
      </c>
      <c r="E167" s="29">
        <f>E$108*$C165/20</f>
        <v>2400</v>
      </c>
      <c r="F167" s="29">
        <f t="shared" ref="F167:N167" si="93">F$108*$C165/20</f>
        <v>4800</v>
      </c>
      <c r="G167" s="29">
        <f t="shared" si="93"/>
        <v>7200</v>
      </c>
      <c r="H167" s="29">
        <f t="shared" si="93"/>
        <v>9600</v>
      </c>
      <c r="I167" s="29">
        <f t="shared" si="93"/>
        <v>12000</v>
      </c>
      <c r="J167" s="29">
        <f t="shared" si="93"/>
        <v>14400.000000000004</v>
      </c>
      <c r="K167" s="29">
        <f t="shared" si="93"/>
        <v>16800.000000000004</v>
      </c>
      <c r="L167" s="29">
        <f t="shared" si="93"/>
        <v>19200</v>
      </c>
      <c r="M167" s="29">
        <f t="shared" si="93"/>
        <v>21600</v>
      </c>
      <c r="N167" s="29">
        <f t="shared" si="93"/>
        <v>23999.999999999993</v>
      </c>
      <c r="P167" s="2"/>
      <c r="Q167" s="2"/>
      <c r="R167" s="2"/>
    </row>
    <row r="168" spans="2:18" s="5" customFormat="1" ht="15" customHeight="1" x14ac:dyDescent="0.45">
      <c r="B168" s="148"/>
      <c r="C168" s="160">
        <v>1000000</v>
      </c>
      <c r="D168" s="17" t="s">
        <v>19</v>
      </c>
      <c r="E168" s="99">
        <f>E$107*$C168/20</f>
        <v>6000</v>
      </c>
      <c r="F168" s="99">
        <f t="shared" ref="F168:N168" si="94">F$107*$C168/20</f>
        <v>6000</v>
      </c>
      <c r="G168" s="99">
        <f t="shared" si="94"/>
        <v>6000</v>
      </c>
      <c r="H168" s="99">
        <f t="shared" si="94"/>
        <v>6000</v>
      </c>
      <c r="I168" s="99">
        <f t="shared" si="94"/>
        <v>6000</v>
      </c>
      <c r="J168" s="99">
        <f t="shared" si="94"/>
        <v>6000</v>
      </c>
      <c r="K168" s="99">
        <f t="shared" si="94"/>
        <v>6000</v>
      </c>
      <c r="L168" s="99">
        <f t="shared" si="94"/>
        <v>6000</v>
      </c>
      <c r="M168" s="99">
        <f t="shared" si="94"/>
        <v>6000</v>
      </c>
      <c r="N168" s="99">
        <f t="shared" si="94"/>
        <v>6000</v>
      </c>
      <c r="P168" s="2"/>
      <c r="Q168" s="2"/>
      <c r="R168" s="2"/>
    </row>
    <row r="169" spans="2:18" s="5" customFormat="1" ht="15" customHeight="1" x14ac:dyDescent="0.45">
      <c r="B169" s="148"/>
      <c r="C169" s="160"/>
      <c r="D169" s="17" t="s">
        <v>22</v>
      </c>
      <c r="E169" s="99"/>
      <c r="F169" s="99"/>
      <c r="G169" s="99"/>
      <c r="H169" s="99"/>
      <c r="I169" s="99">
        <f>SUM(E168:I168)/5</f>
        <v>6000</v>
      </c>
      <c r="J169" s="99"/>
      <c r="K169" s="99"/>
      <c r="L169" s="99"/>
      <c r="M169" s="99"/>
      <c r="N169" s="99">
        <f>SUM(E168:N168)/10</f>
        <v>6000</v>
      </c>
      <c r="P169" s="2"/>
      <c r="Q169" s="2"/>
      <c r="R169" s="2"/>
    </row>
    <row r="170" spans="2:18" s="5" customFormat="1" ht="15" customHeight="1" x14ac:dyDescent="0.45">
      <c r="B170" s="148"/>
      <c r="C170" s="160"/>
      <c r="D170" s="17" t="s">
        <v>52</v>
      </c>
      <c r="E170" s="99">
        <f>E$108*$C168/20</f>
        <v>6000</v>
      </c>
      <c r="F170" s="99">
        <f t="shared" ref="F170:N170" si="95">F$108*$C168/20</f>
        <v>12000</v>
      </c>
      <c r="G170" s="99">
        <f t="shared" si="95"/>
        <v>18000</v>
      </c>
      <c r="H170" s="99">
        <f t="shared" si="95"/>
        <v>24000</v>
      </c>
      <c r="I170" s="99">
        <f t="shared" si="95"/>
        <v>30000</v>
      </c>
      <c r="J170" s="99">
        <f t="shared" si="95"/>
        <v>36000.000000000007</v>
      </c>
      <c r="K170" s="99">
        <f t="shared" si="95"/>
        <v>42000.000000000007</v>
      </c>
      <c r="L170" s="99">
        <f t="shared" si="95"/>
        <v>48000</v>
      </c>
      <c r="M170" s="99">
        <f t="shared" si="95"/>
        <v>54000</v>
      </c>
      <c r="N170" s="99">
        <f t="shared" si="95"/>
        <v>59999.999999999985</v>
      </c>
      <c r="P170" s="2"/>
      <c r="Q170" s="2"/>
      <c r="R170" s="2"/>
    </row>
    <row r="171" spans="2:18" s="5" customFormat="1" ht="15" customHeight="1" x14ac:dyDescent="0.45">
      <c r="B171" s="148"/>
      <c r="C171" s="160">
        <v>2100000</v>
      </c>
      <c r="D171" s="17" t="s">
        <v>19</v>
      </c>
      <c r="E171" s="99">
        <f>E$107*$C171/20</f>
        <v>12600</v>
      </c>
      <c r="F171" s="99">
        <f t="shared" ref="F171:N171" si="96">F$107*$C171/20</f>
        <v>12600</v>
      </c>
      <c r="G171" s="99">
        <f t="shared" si="96"/>
        <v>12600</v>
      </c>
      <c r="H171" s="99">
        <f t="shared" si="96"/>
        <v>12600</v>
      </c>
      <c r="I171" s="99">
        <f t="shared" si="96"/>
        <v>12600</v>
      </c>
      <c r="J171" s="99">
        <f t="shared" si="96"/>
        <v>12600</v>
      </c>
      <c r="K171" s="99">
        <f t="shared" si="96"/>
        <v>12600</v>
      </c>
      <c r="L171" s="99">
        <f t="shared" si="96"/>
        <v>12600</v>
      </c>
      <c r="M171" s="99">
        <f t="shared" si="96"/>
        <v>12600</v>
      </c>
      <c r="N171" s="99">
        <f t="shared" si="96"/>
        <v>12600</v>
      </c>
      <c r="P171" s="2"/>
      <c r="Q171" s="2"/>
      <c r="R171" s="2"/>
    </row>
    <row r="172" spans="2:18" s="5" customFormat="1" ht="15" customHeight="1" x14ac:dyDescent="0.45">
      <c r="B172" s="148"/>
      <c r="C172" s="160"/>
      <c r="D172" s="17" t="s">
        <v>22</v>
      </c>
      <c r="E172" s="99"/>
      <c r="F172" s="99"/>
      <c r="G172" s="99"/>
      <c r="H172" s="99"/>
      <c r="I172" s="99">
        <f>SUM(E171:I171)/5</f>
        <v>12600</v>
      </c>
      <c r="J172" s="99"/>
      <c r="K172" s="99"/>
      <c r="L172" s="99"/>
      <c r="M172" s="99"/>
      <c r="N172" s="99">
        <f>SUM(E171:N171)/10</f>
        <v>12600</v>
      </c>
      <c r="P172" s="2"/>
      <c r="Q172" s="2"/>
      <c r="R172" s="2"/>
    </row>
    <row r="173" spans="2:18" s="5" customFormat="1" ht="15" customHeight="1" x14ac:dyDescent="0.45">
      <c r="B173" s="148"/>
      <c r="C173" s="160"/>
      <c r="D173" s="17" t="s">
        <v>52</v>
      </c>
      <c r="E173" s="99">
        <f>E$108*$C171/20</f>
        <v>12600</v>
      </c>
      <c r="F173" s="99">
        <f t="shared" ref="F173:N173" si="97">F$108*$C171/20</f>
        <v>25200</v>
      </c>
      <c r="G173" s="99">
        <f t="shared" si="97"/>
        <v>37800</v>
      </c>
      <c r="H173" s="99">
        <f t="shared" si="97"/>
        <v>50400</v>
      </c>
      <c r="I173" s="99">
        <f t="shared" si="97"/>
        <v>63000</v>
      </c>
      <c r="J173" s="99">
        <f t="shared" si="97"/>
        <v>75600.000000000015</v>
      </c>
      <c r="K173" s="99">
        <f t="shared" si="97"/>
        <v>88200.000000000015</v>
      </c>
      <c r="L173" s="99">
        <f t="shared" si="97"/>
        <v>100800</v>
      </c>
      <c r="M173" s="99">
        <f t="shared" si="97"/>
        <v>113400</v>
      </c>
      <c r="N173" s="99">
        <f t="shared" si="97"/>
        <v>125999.99999999997</v>
      </c>
      <c r="P173" s="2"/>
      <c r="Q173" s="2"/>
      <c r="R173" s="2"/>
    </row>
    <row r="174" spans="2:18" s="5" customFormat="1" ht="15" customHeight="1" x14ac:dyDescent="0.45">
      <c r="B174" s="148" t="s">
        <v>73</v>
      </c>
      <c r="C174" s="159">
        <v>20000</v>
      </c>
      <c r="D174" s="59" t="s">
        <v>19</v>
      </c>
      <c r="E174" s="29">
        <f>E$122*$C174/20</f>
        <v>535.71428571428567</v>
      </c>
      <c r="F174" s="29">
        <f t="shared" ref="F174:N174" si="98">F$122*$C174/20</f>
        <v>382.65306122448982</v>
      </c>
      <c r="G174" s="29">
        <f t="shared" si="98"/>
        <v>273.32361516034985</v>
      </c>
      <c r="H174" s="29">
        <f t="shared" si="98"/>
        <v>195.23115368596416</v>
      </c>
      <c r="I174" s="29">
        <f t="shared" si="98"/>
        <v>139.45082406140301</v>
      </c>
      <c r="J174" s="29">
        <f t="shared" si="98"/>
        <v>99.607731472430714</v>
      </c>
      <c r="K174" s="29">
        <f t="shared" si="98"/>
        <v>71.148379623164786</v>
      </c>
      <c r="L174" s="29">
        <f t="shared" si="98"/>
        <v>50.820271159403418</v>
      </c>
      <c r="M174" s="29">
        <f t="shared" si="98"/>
        <v>36.300193685288157</v>
      </c>
      <c r="N174" s="29">
        <f t="shared" si="98"/>
        <v>25.928709775205824</v>
      </c>
      <c r="P174" s="2"/>
      <c r="Q174" s="2"/>
      <c r="R174" s="2"/>
    </row>
    <row r="175" spans="2:18" s="5" customFormat="1" ht="15" customHeight="1" x14ac:dyDescent="0.45">
      <c r="B175" s="148"/>
      <c r="C175" s="159"/>
      <c r="D175" s="21" t="s">
        <v>22</v>
      </c>
      <c r="E175" s="29"/>
      <c r="F175" s="29"/>
      <c r="G175" s="29"/>
      <c r="H175" s="29"/>
      <c r="I175" s="29">
        <f>SUM(E174:I174)/5</f>
        <v>305.27458796929847</v>
      </c>
      <c r="J175" s="29"/>
      <c r="K175" s="29"/>
      <c r="L175" s="29"/>
      <c r="M175" s="29"/>
      <c r="N175" s="29">
        <f>SUM(E174:N174)/10</f>
        <v>181.0178225561985</v>
      </c>
      <c r="P175" s="2"/>
      <c r="Q175" s="2"/>
      <c r="R175" s="2"/>
    </row>
    <row r="176" spans="2:18" s="5" customFormat="1" ht="15" customHeight="1" x14ac:dyDescent="0.45">
      <c r="B176" s="148"/>
      <c r="C176" s="159"/>
      <c r="D176" s="21" t="s">
        <v>52</v>
      </c>
      <c r="E176" s="29">
        <f>E$123*$C174/20</f>
        <v>535.71428571428567</v>
      </c>
      <c r="F176" s="29">
        <f t="shared" ref="F176:N176" si="99">F$123*$C174/20</f>
        <v>918.36734693877531</v>
      </c>
      <c r="G176" s="29">
        <f t="shared" si="99"/>
        <v>1191.690962099125</v>
      </c>
      <c r="H176" s="29">
        <f t="shared" si="99"/>
        <v>1386.92211578509</v>
      </c>
      <c r="I176" s="29">
        <f t="shared" si="99"/>
        <v>1526.3729398464925</v>
      </c>
      <c r="J176" s="29">
        <f t="shared" si="99"/>
        <v>1625.9806713189232</v>
      </c>
      <c r="K176" s="29">
        <f t="shared" si="99"/>
        <v>1697.1290509420874</v>
      </c>
      <c r="L176" s="29">
        <f t="shared" si="99"/>
        <v>1747.9493221014886</v>
      </c>
      <c r="M176" s="29">
        <f t="shared" si="99"/>
        <v>1784.2495157867822</v>
      </c>
      <c r="N176" s="29">
        <f t="shared" si="99"/>
        <v>1810.1782255619903</v>
      </c>
      <c r="P176" s="2"/>
      <c r="Q176" s="2"/>
      <c r="R176" s="2"/>
    </row>
    <row r="177" spans="2:18" s="5" customFormat="1" ht="15" customHeight="1" x14ac:dyDescent="0.45">
      <c r="B177" s="148"/>
      <c r="C177" s="159">
        <v>400000</v>
      </c>
      <c r="D177" s="59" t="s">
        <v>19</v>
      </c>
      <c r="E177" s="29">
        <f>E$122*$C177/20</f>
        <v>10714.285714285714</v>
      </c>
      <c r="F177" s="29">
        <f t="shared" ref="F177:N177" si="100">F$122*$C177/20</f>
        <v>7653.0612244897975</v>
      </c>
      <c r="G177" s="29">
        <f t="shared" si="100"/>
        <v>5466.4723032069978</v>
      </c>
      <c r="H177" s="29">
        <f t="shared" si="100"/>
        <v>3904.6230737192832</v>
      </c>
      <c r="I177" s="29">
        <f t="shared" si="100"/>
        <v>2789.01648122806</v>
      </c>
      <c r="J177" s="29">
        <f t="shared" si="100"/>
        <v>1992.1546294486143</v>
      </c>
      <c r="K177" s="29">
        <f t="shared" si="100"/>
        <v>1422.9675924632957</v>
      </c>
      <c r="L177" s="29">
        <f t="shared" si="100"/>
        <v>1016.4054231880684</v>
      </c>
      <c r="M177" s="29">
        <f t="shared" si="100"/>
        <v>726.00387370576311</v>
      </c>
      <c r="N177" s="29">
        <f t="shared" si="100"/>
        <v>518.57419550411646</v>
      </c>
      <c r="P177" s="2"/>
      <c r="Q177" s="2"/>
      <c r="R177" s="2"/>
    </row>
    <row r="178" spans="2:18" s="5" customFormat="1" ht="15" customHeight="1" x14ac:dyDescent="0.45">
      <c r="B178" s="148"/>
      <c r="C178" s="159"/>
      <c r="D178" s="21" t="s">
        <v>22</v>
      </c>
      <c r="E178" s="29"/>
      <c r="F178" s="29"/>
      <c r="G178" s="29"/>
      <c r="H178" s="29"/>
      <c r="I178" s="29">
        <f>SUM(E177:I177)/5</f>
        <v>6105.49175938597</v>
      </c>
      <c r="J178" s="29"/>
      <c r="K178" s="29"/>
      <c r="L178" s="29"/>
      <c r="M178" s="29"/>
      <c r="N178" s="29">
        <f>SUM(E177:N177)/10</f>
        <v>3620.3564511239701</v>
      </c>
      <c r="P178" s="2"/>
      <c r="Q178" s="2"/>
      <c r="R178" s="2"/>
    </row>
    <row r="179" spans="2:18" s="5" customFormat="1" ht="15" customHeight="1" x14ac:dyDescent="0.45">
      <c r="B179" s="148"/>
      <c r="C179" s="159"/>
      <c r="D179" s="21" t="s">
        <v>52</v>
      </c>
      <c r="E179" s="29">
        <f>E$123*$C177/20</f>
        <v>10714.285714285714</v>
      </c>
      <c r="F179" s="29">
        <f t="shared" ref="F179:N179" si="101">F$123*$C177/20</f>
        <v>18367.34693877551</v>
      </c>
      <c r="G179" s="29">
        <f t="shared" si="101"/>
        <v>23833.819241982503</v>
      </c>
      <c r="H179" s="29">
        <f t="shared" si="101"/>
        <v>27738.442315701795</v>
      </c>
      <c r="I179" s="29">
        <f t="shared" si="101"/>
        <v>30527.458796929848</v>
      </c>
      <c r="J179" s="29">
        <f t="shared" si="101"/>
        <v>32519.613426378462</v>
      </c>
      <c r="K179" s="29">
        <f t="shared" si="101"/>
        <v>33942.581018841745</v>
      </c>
      <c r="L179" s="29">
        <f t="shared" si="101"/>
        <v>34958.986442029774</v>
      </c>
      <c r="M179" s="29">
        <f t="shared" si="101"/>
        <v>35684.990315735646</v>
      </c>
      <c r="N179" s="29">
        <f t="shared" si="101"/>
        <v>36203.564511239805</v>
      </c>
      <c r="P179" s="2"/>
      <c r="Q179" s="2"/>
      <c r="R179" s="2"/>
    </row>
    <row r="180" spans="2:18" s="5" customFormat="1" ht="15" customHeight="1" x14ac:dyDescent="0.45">
      <c r="B180" s="148"/>
      <c r="C180" s="160">
        <v>1000000</v>
      </c>
      <c r="D180" s="17" t="s">
        <v>19</v>
      </c>
      <c r="E180" s="99">
        <f>E$122*$C180/20</f>
        <v>26785.714285714283</v>
      </c>
      <c r="F180" s="99">
        <f t="shared" ref="F180:N180" si="102">F$122*$C180/20</f>
        <v>19132.65306122449</v>
      </c>
      <c r="G180" s="99">
        <f t="shared" si="102"/>
        <v>13666.180758017494</v>
      </c>
      <c r="H180" s="99">
        <f t="shared" si="102"/>
        <v>9761.5576842982082</v>
      </c>
      <c r="I180" s="99">
        <f t="shared" si="102"/>
        <v>6972.54120307015</v>
      </c>
      <c r="J180" s="99">
        <f t="shared" si="102"/>
        <v>4980.3865736215357</v>
      </c>
      <c r="K180" s="99">
        <f t="shared" si="102"/>
        <v>3557.4189811582391</v>
      </c>
      <c r="L180" s="99">
        <f t="shared" si="102"/>
        <v>2541.013557970171</v>
      </c>
      <c r="M180" s="99">
        <f t="shared" si="102"/>
        <v>1815.0096842644077</v>
      </c>
      <c r="N180" s="99">
        <f t="shared" si="102"/>
        <v>1296.4354887602913</v>
      </c>
      <c r="P180" s="2"/>
      <c r="Q180" s="2"/>
      <c r="R180" s="2"/>
    </row>
    <row r="181" spans="2:18" s="5" customFormat="1" ht="15" customHeight="1" x14ac:dyDescent="0.45">
      <c r="B181" s="148"/>
      <c r="C181" s="160"/>
      <c r="D181" s="17" t="s">
        <v>22</v>
      </c>
      <c r="E181" s="99"/>
      <c r="F181" s="99"/>
      <c r="G181" s="99"/>
      <c r="H181" s="99"/>
      <c r="I181" s="99">
        <f>SUM(E180:I180)/5</f>
        <v>15263.729398464926</v>
      </c>
      <c r="J181" s="99"/>
      <c r="K181" s="99"/>
      <c r="L181" s="99"/>
      <c r="M181" s="99"/>
      <c r="N181" s="99">
        <f>SUM(E180:N180)/10</f>
        <v>9050.8911278099295</v>
      </c>
      <c r="P181" s="2"/>
      <c r="Q181" s="2"/>
      <c r="R181" s="2"/>
    </row>
    <row r="182" spans="2:18" s="5" customFormat="1" ht="15" customHeight="1" x14ac:dyDescent="0.45">
      <c r="B182" s="148"/>
      <c r="C182" s="160"/>
      <c r="D182" s="17" t="s">
        <v>52</v>
      </c>
      <c r="E182" s="99">
        <f>E$123*$C180/20</f>
        <v>26785.714285714283</v>
      </c>
      <c r="F182" s="99">
        <f t="shared" ref="F182:N182" si="103">F$123*$C180/20</f>
        <v>45918.367346938772</v>
      </c>
      <c r="G182" s="99">
        <f t="shared" si="103"/>
        <v>59584.548104956259</v>
      </c>
      <c r="H182" s="99">
        <f t="shared" si="103"/>
        <v>69346.105789254507</v>
      </c>
      <c r="I182" s="99">
        <f t="shared" si="103"/>
        <v>76318.646992324619</v>
      </c>
      <c r="J182" s="99">
        <f t="shared" si="103"/>
        <v>81299.033565946156</v>
      </c>
      <c r="K182" s="99">
        <f t="shared" si="103"/>
        <v>84856.45254710436</v>
      </c>
      <c r="L182" s="99">
        <f t="shared" si="103"/>
        <v>87397.466105074418</v>
      </c>
      <c r="M182" s="99">
        <f t="shared" si="103"/>
        <v>89212.475789339122</v>
      </c>
      <c r="N182" s="99">
        <f t="shared" si="103"/>
        <v>90508.911278099506</v>
      </c>
      <c r="P182" s="2"/>
      <c r="Q182" s="2"/>
      <c r="R182" s="2"/>
    </row>
    <row r="183" spans="2:18" s="5" customFormat="1" ht="15" customHeight="1" x14ac:dyDescent="0.45">
      <c r="B183" s="148"/>
      <c r="C183" s="160">
        <v>2100000</v>
      </c>
      <c r="D183" s="17" t="s">
        <v>19</v>
      </c>
      <c r="E183" s="99">
        <f>E$122*$C183/20</f>
        <v>56250</v>
      </c>
      <c r="F183" s="99">
        <f t="shared" ref="F183:N183" si="104">F$122*$C183/20</f>
        <v>40178.571428571435</v>
      </c>
      <c r="G183" s="99">
        <f t="shared" si="104"/>
        <v>28698.979591836734</v>
      </c>
      <c r="H183" s="99">
        <f t="shared" si="104"/>
        <v>20499.271137026237</v>
      </c>
      <c r="I183" s="99">
        <f t="shared" si="104"/>
        <v>14642.336526447314</v>
      </c>
      <c r="J183" s="99">
        <f t="shared" si="104"/>
        <v>10458.811804605224</v>
      </c>
      <c r="K183" s="99">
        <f t="shared" si="104"/>
        <v>7470.5798604323018</v>
      </c>
      <c r="L183" s="99">
        <f t="shared" si="104"/>
        <v>5336.1284717373592</v>
      </c>
      <c r="M183" s="99">
        <f t="shared" si="104"/>
        <v>3811.520336955256</v>
      </c>
      <c r="N183" s="99">
        <f t="shared" si="104"/>
        <v>2722.5145263966115</v>
      </c>
      <c r="P183" s="2"/>
      <c r="Q183" s="2"/>
      <c r="R183" s="2"/>
    </row>
    <row r="184" spans="2:18" s="5" customFormat="1" ht="15" customHeight="1" x14ac:dyDescent="0.45">
      <c r="B184" s="148"/>
      <c r="C184" s="160"/>
      <c r="D184" s="17" t="s">
        <v>22</v>
      </c>
      <c r="E184" s="99"/>
      <c r="F184" s="99"/>
      <c r="G184" s="99"/>
      <c r="H184" s="99"/>
      <c r="I184" s="99">
        <f>SUM(E183:I183)/5</f>
        <v>32053.831736776345</v>
      </c>
      <c r="J184" s="99"/>
      <c r="K184" s="99"/>
      <c r="L184" s="99"/>
      <c r="M184" s="99"/>
      <c r="N184" s="99">
        <f>SUM(E183:N183)/10</f>
        <v>19006.871368400847</v>
      </c>
      <c r="P184" s="2"/>
      <c r="Q184" s="2"/>
      <c r="R184" s="2"/>
    </row>
    <row r="185" spans="2:18" s="5" customFormat="1" ht="15" customHeight="1" x14ac:dyDescent="0.45">
      <c r="B185" s="148"/>
      <c r="C185" s="160"/>
      <c r="D185" s="17" t="s">
        <v>52</v>
      </c>
      <c r="E185" s="99">
        <f>E$123*$C183/20</f>
        <v>56250</v>
      </c>
      <c r="F185" s="99">
        <f t="shared" ref="F185:N185" si="105">F$123*$C183/20</f>
        <v>96428.57142857142</v>
      </c>
      <c r="G185" s="99">
        <f t="shared" si="105"/>
        <v>125127.55102040814</v>
      </c>
      <c r="H185" s="99">
        <f t="shared" si="105"/>
        <v>145626.82215743445</v>
      </c>
      <c r="I185" s="99">
        <f t="shared" si="105"/>
        <v>160269.15868388169</v>
      </c>
      <c r="J185" s="99">
        <f t="shared" si="105"/>
        <v>170727.97048848693</v>
      </c>
      <c r="K185" s="99">
        <f t="shared" si="105"/>
        <v>178198.55034891918</v>
      </c>
      <c r="L185" s="99">
        <f t="shared" si="105"/>
        <v>183534.67882065632</v>
      </c>
      <c r="M185" s="99">
        <f t="shared" si="105"/>
        <v>187346.19915761214</v>
      </c>
      <c r="N185" s="99">
        <f t="shared" si="105"/>
        <v>190068.71368400898</v>
      </c>
      <c r="P185" s="2"/>
      <c r="Q185" s="2"/>
      <c r="R185" s="2"/>
    </row>
    <row r="186" spans="2:18" s="5" customFormat="1" ht="15" customHeight="1" x14ac:dyDescent="0.45">
      <c r="B186" s="148" t="s">
        <v>18</v>
      </c>
      <c r="C186" s="159">
        <v>20000</v>
      </c>
      <c r="D186" s="59" t="s">
        <v>19</v>
      </c>
      <c r="E186" s="29">
        <f>E150+E162+E174</f>
        <v>2370</v>
      </c>
      <c r="F186" s="29">
        <f t="shared" ref="F186:N186" si="106">F150+F162+F174</f>
        <v>1727.1428571428573</v>
      </c>
      <c r="G186" s="29">
        <f t="shared" si="106"/>
        <v>1267.9591836734694</v>
      </c>
      <c r="H186" s="29">
        <f t="shared" si="106"/>
        <v>939.97084548104931</v>
      </c>
      <c r="I186" s="29">
        <f t="shared" si="106"/>
        <v>705.69346105789259</v>
      </c>
      <c r="J186" s="29">
        <f t="shared" si="106"/>
        <v>538.35247218420898</v>
      </c>
      <c r="K186" s="29">
        <f t="shared" si="106"/>
        <v>418.8231944172922</v>
      </c>
      <c r="L186" s="29">
        <f t="shared" si="106"/>
        <v>333.44513886949466</v>
      </c>
      <c r="M186" s="29">
        <f t="shared" si="106"/>
        <v>272.46081347821007</v>
      </c>
      <c r="N186" s="29">
        <f t="shared" si="106"/>
        <v>228.90058105586422</v>
      </c>
      <c r="P186" s="2"/>
      <c r="Q186" s="2"/>
      <c r="R186" s="2"/>
    </row>
    <row r="187" spans="2:18" s="5" customFormat="1" ht="15" customHeight="1" x14ac:dyDescent="0.45">
      <c r="B187" s="148"/>
      <c r="C187" s="159"/>
      <c r="D187" s="21" t="s">
        <v>22</v>
      </c>
      <c r="E187" s="29"/>
      <c r="F187" s="29"/>
      <c r="G187" s="29"/>
      <c r="H187" s="29"/>
      <c r="I187" s="30">
        <f>SUM(E186:I186)/5</f>
        <v>1402.1532694710536</v>
      </c>
      <c r="J187" s="29"/>
      <c r="K187" s="29"/>
      <c r="L187" s="29"/>
      <c r="M187" s="29"/>
      <c r="N187" s="29">
        <f>SUM(E186:N186)/10</f>
        <v>880.27485473603394</v>
      </c>
      <c r="P187" s="2"/>
      <c r="Q187" s="2"/>
      <c r="R187" s="2"/>
    </row>
    <row r="188" spans="2:18" s="5" customFormat="1" ht="15" customHeight="1" x14ac:dyDescent="0.45">
      <c r="B188" s="148"/>
      <c r="C188" s="159"/>
      <c r="D188" s="21" t="s">
        <v>52</v>
      </c>
      <c r="E188" s="29">
        <f>E152+E164+E176</f>
        <v>2370</v>
      </c>
      <c r="F188" s="29">
        <f t="shared" ref="F188:N189" si="107">F152+F164+F176</f>
        <v>4097.1428571428569</v>
      </c>
      <c r="G188" s="29">
        <f t="shared" si="107"/>
        <v>5365.1020408163258</v>
      </c>
      <c r="H188" s="29">
        <f t="shared" si="107"/>
        <v>6305.0728862973765</v>
      </c>
      <c r="I188" s="30">
        <f t="shared" si="107"/>
        <v>7010.7663473552693</v>
      </c>
      <c r="J188" s="29">
        <f t="shared" si="107"/>
        <v>7549.118819539477</v>
      </c>
      <c r="K188" s="29">
        <f t="shared" si="107"/>
        <v>7967.9420139567683</v>
      </c>
      <c r="L188" s="29">
        <f t="shared" si="107"/>
        <v>8301.3871528262607</v>
      </c>
      <c r="M188" s="29">
        <f t="shared" si="107"/>
        <v>8573.8479663044764</v>
      </c>
      <c r="N188" s="29">
        <f t="shared" si="107"/>
        <v>8802.7485473603429</v>
      </c>
      <c r="P188" s="2"/>
      <c r="Q188" s="2"/>
      <c r="R188" s="2"/>
    </row>
    <row r="189" spans="2:18" s="5" customFormat="1" ht="15" customHeight="1" x14ac:dyDescent="0.45">
      <c r="B189" s="148"/>
      <c r="C189" s="159">
        <v>400000</v>
      </c>
      <c r="D189" s="59" t="s">
        <v>19</v>
      </c>
      <c r="E189" s="29">
        <f>E153+E165+E177</f>
        <v>47399.999999999985</v>
      </c>
      <c r="F189" s="29">
        <f t="shared" si="107"/>
        <v>34542.857142857145</v>
      </c>
      <c r="G189" s="29">
        <f t="shared" si="107"/>
        <v>25359.183673469393</v>
      </c>
      <c r="H189" s="29">
        <f t="shared" si="107"/>
        <v>18799.416909620984</v>
      </c>
      <c r="I189" s="29">
        <f t="shared" si="107"/>
        <v>14113.869221157851</v>
      </c>
      <c r="J189" s="29">
        <f t="shared" si="107"/>
        <v>10767.04944368418</v>
      </c>
      <c r="K189" s="29">
        <f t="shared" si="107"/>
        <v>8376.4638883458429</v>
      </c>
      <c r="L189" s="29">
        <f t="shared" si="107"/>
        <v>6668.9027773898924</v>
      </c>
      <c r="M189" s="29">
        <f t="shared" si="107"/>
        <v>5449.216269564201</v>
      </c>
      <c r="N189" s="29">
        <f t="shared" si="107"/>
        <v>4578.0116211172844</v>
      </c>
      <c r="P189" s="2"/>
      <c r="Q189" s="2"/>
      <c r="R189" s="2"/>
    </row>
    <row r="190" spans="2:18" s="5" customFormat="1" ht="15" customHeight="1" x14ac:dyDescent="0.45">
      <c r="B190" s="148"/>
      <c r="C190" s="159"/>
      <c r="D190" s="21" t="s">
        <v>22</v>
      </c>
      <c r="E190" s="29"/>
      <c r="F190" s="29"/>
      <c r="G190" s="29"/>
      <c r="H190" s="29"/>
      <c r="I190" s="30">
        <f>SUM(E189:I189)/5</f>
        <v>28043.06538942107</v>
      </c>
      <c r="J190" s="29"/>
      <c r="K190" s="29"/>
      <c r="L190" s="29"/>
      <c r="M190" s="29"/>
      <c r="N190" s="29">
        <f>SUM(E189:N189)/10</f>
        <v>17605.497094720671</v>
      </c>
      <c r="P190" s="2"/>
      <c r="Q190" s="2"/>
      <c r="R190" s="2"/>
    </row>
    <row r="191" spans="2:18" s="5" customFormat="1" ht="15" customHeight="1" x14ac:dyDescent="0.45">
      <c r="B191" s="148"/>
      <c r="C191" s="159"/>
      <c r="D191" s="21" t="s">
        <v>52</v>
      </c>
      <c r="E191" s="29">
        <f>E155+E167+E179</f>
        <v>47399.999999999985</v>
      </c>
      <c r="F191" s="29">
        <f t="shared" ref="F191:N192" si="108">F155+F167+F179</f>
        <v>81942.85714285713</v>
      </c>
      <c r="G191" s="29">
        <f t="shared" si="108"/>
        <v>107302.04081632652</v>
      </c>
      <c r="H191" s="29">
        <f t="shared" si="108"/>
        <v>126101.45772594752</v>
      </c>
      <c r="I191" s="30">
        <f t="shared" si="108"/>
        <v>140215.32694710538</v>
      </c>
      <c r="J191" s="29">
        <f t="shared" si="108"/>
        <v>150982.37639078955</v>
      </c>
      <c r="K191" s="29">
        <f t="shared" si="108"/>
        <v>159358.84027913539</v>
      </c>
      <c r="L191" s="29">
        <f t="shared" si="108"/>
        <v>166027.74305652521</v>
      </c>
      <c r="M191" s="29">
        <f t="shared" si="108"/>
        <v>171476.95932608953</v>
      </c>
      <c r="N191" s="29">
        <f t="shared" si="108"/>
        <v>176054.97094720684</v>
      </c>
      <c r="P191" s="2"/>
      <c r="Q191" s="2"/>
      <c r="R191" s="2"/>
    </row>
    <row r="192" spans="2:18" s="5" customFormat="1" ht="15" customHeight="1" x14ac:dyDescent="0.45">
      <c r="B192" s="148"/>
      <c r="C192" s="160">
        <v>1000000</v>
      </c>
      <c r="D192" s="17" t="s">
        <v>19</v>
      </c>
      <c r="E192" s="31">
        <f>E156+E168+E180</f>
        <v>118499.99999999997</v>
      </c>
      <c r="F192" s="31">
        <f t="shared" si="108"/>
        <v>86357.14285714287</v>
      </c>
      <c r="G192" s="31">
        <f t="shared" si="108"/>
        <v>63397.959183673476</v>
      </c>
      <c r="H192" s="31">
        <f t="shared" si="108"/>
        <v>46998.542274052466</v>
      </c>
      <c r="I192" s="31">
        <f t="shared" si="108"/>
        <v>35284.673052894628</v>
      </c>
      <c r="J192" s="31">
        <f t="shared" si="108"/>
        <v>26917.623609210452</v>
      </c>
      <c r="K192" s="31">
        <f t="shared" si="108"/>
        <v>20941.159720864609</v>
      </c>
      <c r="L192" s="31">
        <f t="shared" si="108"/>
        <v>16672.256943474731</v>
      </c>
      <c r="M192" s="31">
        <f t="shared" si="108"/>
        <v>13623.040673910504</v>
      </c>
      <c r="N192" s="31">
        <f t="shared" si="108"/>
        <v>11445.029052793212</v>
      </c>
      <c r="P192" s="2"/>
      <c r="Q192" s="2"/>
      <c r="R192" s="2"/>
    </row>
    <row r="193" spans="2:18" s="5" customFormat="1" ht="15" customHeight="1" x14ac:dyDescent="0.45">
      <c r="B193" s="148"/>
      <c r="C193" s="160"/>
      <c r="D193" s="17" t="s">
        <v>22</v>
      </c>
      <c r="E193" s="31"/>
      <c r="F193" s="31"/>
      <c r="G193" s="31"/>
      <c r="H193" s="31"/>
      <c r="I193" s="32">
        <f>SUM(E192:I192)/5</f>
        <v>70107.66347355269</v>
      </c>
      <c r="J193" s="31"/>
      <c r="K193" s="31"/>
      <c r="L193" s="31"/>
      <c r="M193" s="31"/>
      <c r="N193" s="31">
        <f>SUM(E192:N192)/10</f>
        <v>44013.742736801694</v>
      </c>
      <c r="P193" s="2"/>
      <c r="Q193" s="2"/>
      <c r="R193" s="2"/>
    </row>
    <row r="194" spans="2:18" s="5" customFormat="1" ht="15" customHeight="1" x14ac:dyDescent="0.45">
      <c r="B194" s="148"/>
      <c r="C194" s="160"/>
      <c r="D194" s="17" t="s">
        <v>52</v>
      </c>
      <c r="E194" s="31">
        <f>E158+E170+E182</f>
        <v>118499.99999999997</v>
      </c>
      <c r="F194" s="31">
        <f t="shared" ref="F194:N195" si="109">F158+F170+F182</f>
        <v>204857.14285714284</v>
      </c>
      <c r="G194" s="31">
        <f t="shared" si="109"/>
        <v>268255.10204081633</v>
      </c>
      <c r="H194" s="31">
        <f t="shared" si="109"/>
        <v>315253.64431486884</v>
      </c>
      <c r="I194" s="32">
        <f t="shared" si="109"/>
        <v>350538.31736776343</v>
      </c>
      <c r="J194" s="31">
        <f t="shared" si="109"/>
        <v>377455.94097697386</v>
      </c>
      <c r="K194" s="31">
        <f t="shared" si="109"/>
        <v>398397.10069783847</v>
      </c>
      <c r="L194" s="31">
        <f t="shared" si="109"/>
        <v>415069.35764131299</v>
      </c>
      <c r="M194" s="31">
        <f t="shared" si="109"/>
        <v>428692.39831522381</v>
      </c>
      <c r="N194" s="31">
        <f t="shared" si="109"/>
        <v>440137.42736801715</v>
      </c>
      <c r="P194" s="2"/>
      <c r="Q194" s="2"/>
      <c r="R194" s="2"/>
    </row>
    <row r="195" spans="2:18" s="5" customFormat="1" ht="15" customHeight="1" x14ac:dyDescent="0.45">
      <c r="B195" s="148"/>
      <c r="C195" s="160">
        <v>2100000</v>
      </c>
      <c r="D195" s="17" t="s">
        <v>19</v>
      </c>
      <c r="E195" s="31">
        <f>E159+E171+E183</f>
        <v>248849.99999999997</v>
      </c>
      <c r="F195" s="31">
        <f t="shared" si="109"/>
        <v>181350</v>
      </c>
      <c r="G195" s="31">
        <f t="shared" si="109"/>
        <v>133135.71428571432</v>
      </c>
      <c r="H195" s="31">
        <f t="shared" si="109"/>
        <v>98696.938775510192</v>
      </c>
      <c r="I195" s="31">
        <f t="shared" si="109"/>
        <v>74097.813411078707</v>
      </c>
      <c r="J195" s="31">
        <f t="shared" si="109"/>
        <v>56527.009579341946</v>
      </c>
      <c r="K195" s="31">
        <f t="shared" si="109"/>
        <v>43976.435413815678</v>
      </c>
      <c r="L195" s="31">
        <f t="shared" si="109"/>
        <v>35011.739581296933</v>
      </c>
      <c r="M195" s="31">
        <f t="shared" si="109"/>
        <v>28608.385415212055</v>
      </c>
      <c r="N195" s="31">
        <f t="shared" si="109"/>
        <v>24034.561010865746</v>
      </c>
      <c r="P195" s="2"/>
      <c r="Q195" s="2"/>
      <c r="R195" s="2"/>
    </row>
    <row r="196" spans="2:18" s="5" customFormat="1" ht="15" customHeight="1" x14ac:dyDescent="0.45">
      <c r="B196" s="148"/>
      <c r="C196" s="160"/>
      <c r="D196" s="17" t="s">
        <v>22</v>
      </c>
      <c r="E196" s="31"/>
      <c r="F196" s="31"/>
      <c r="G196" s="31"/>
      <c r="H196" s="31"/>
      <c r="I196" s="32">
        <f>SUM(E195:I195)/5</f>
        <v>147226.09329446065</v>
      </c>
      <c r="J196" s="31"/>
      <c r="K196" s="31"/>
      <c r="L196" s="31"/>
      <c r="M196" s="31"/>
      <c r="N196" s="31">
        <f>SUM(E195:N195)/10</f>
        <v>92428.859747283554</v>
      </c>
      <c r="P196" s="2"/>
      <c r="Q196" s="2"/>
      <c r="R196" s="2"/>
    </row>
    <row r="197" spans="2:18" s="5" customFormat="1" ht="15" customHeight="1" x14ac:dyDescent="0.45">
      <c r="B197" s="148"/>
      <c r="C197" s="160"/>
      <c r="D197" s="17" t="s">
        <v>52</v>
      </c>
      <c r="E197" s="31">
        <f>E161+E173+E185</f>
        <v>248849.99999999997</v>
      </c>
      <c r="F197" s="31">
        <f t="shared" ref="F197:N197" si="110">F161+F173+F185</f>
        <v>430199.99999999994</v>
      </c>
      <c r="G197" s="31">
        <f t="shared" si="110"/>
        <v>563335.71428571432</v>
      </c>
      <c r="H197" s="31">
        <f t="shared" si="110"/>
        <v>662032.6530612245</v>
      </c>
      <c r="I197" s="32">
        <f t="shared" si="110"/>
        <v>736130.46647230326</v>
      </c>
      <c r="J197" s="31">
        <f t="shared" si="110"/>
        <v>792657.47605164512</v>
      </c>
      <c r="K197" s="31">
        <f t="shared" si="110"/>
        <v>836633.91146546067</v>
      </c>
      <c r="L197" s="31">
        <f t="shared" si="110"/>
        <v>871645.65104675735</v>
      </c>
      <c r="M197" s="31">
        <f t="shared" si="110"/>
        <v>900254.03646197007</v>
      </c>
      <c r="N197" s="31">
        <f t="shared" si="110"/>
        <v>924288.59747283603</v>
      </c>
      <c r="P197" s="2"/>
      <c r="Q197" s="2"/>
      <c r="R197" s="2"/>
    </row>
    <row r="198" spans="2:18" s="5" customFormat="1" ht="15" customHeight="1" x14ac:dyDescent="0.45">
      <c r="B198" s="4"/>
      <c r="C198" s="1"/>
      <c r="D198" s="48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P198" s="2"/>
      <c r="Q198" s="2"/>
      <c r="R198" s="2"/>
    </row>
    <row r="199" spans="2:18" s="5" customFormat="1" ht="15" customHeight="1" x14ac:dyDescent="0.45">
      <c r="B199" s="2"/>
      <c r="C199" s="2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P199" s="2"/>
      <c r="Q199" s="2"/>
      <c r="R199" s="2"/>
    </row>
  </sheetData>
  <mergeCells count="121">
    <mergeCell ref="B186:B197"/>
    <mergeCell ref="C186:C188"/>
    <mergeCell ref="C189:C191"/>
    <mergeCell ref="C192:C194"/>
    <mergeCell ref="C195:C197"/>
    <mergeCell ref="B162:B173"/>
    <mergeCell ref="C162:C164"/>
    <mergeCell ref="C165:C167"/>
    <mergeCell ref="C168:C170"/>
    <mergeCell ref="C171:C173"/>
    <mergeCell ref="B174:B185"/>
    <mergeCell ref="C174:C176"/>
    <mergeCell ref="C177:C179"/>
    <mergeCell ref="C180:C182"/>
    <mergeCell ref="C183:C185"/>
    <mergeCell ref="J148:J149"/>
    <mergeCell ref="K148:K149"/>
    <mergeCell ref="L148:L149"/>
    <mergeCell ref="M148:M149"/>
    <mergeCell ref="N148:N149"/>
    <mergeCell ref="B150:B161"/>
    <mergeCell ref="C150:C152"/>
    <mergeCell ref="C153:C155"/>
    <mergeCell ref="C156:C158"/>
    <mergeCell ref="C159:C161"/>
    <mergeCell ref="D148:D149"/>
    <mergeCell ref="E148:E149"/>
    <mergeCell ref="F148:F149"/>
    <mergeCell ref="G148:G149"/>
    <mergeCell ref="H148:H149"/>
    <mergeCell ref="I148:I149"/>
    <mergeCell ref="B132:B146"/>
    <mergeCell ref="C132:C136"/>
    <mergeCell ref="C137:C141"/>
    <mergeCell ref="C142:C146"/>
    <mergeCell ref="B148:B149"/>
    <mergeCell ref="C148:C149"/>
    <mergeCell ref="B105:B118"/>
    <mergeCell ref="C105:C108"/>
    <mergeCell ref="C109:C113"/>
    <mergeCell ref="C114:C118"/>
    <mergeCell ref="B119:B131"/>
    <mergeCell ref="C119:C123"/>
    <mergeCell ref="C124:C126"/>
    <mergeCell ref="C127:C131"/>
    <mergeCell ref="J90:J91"/>
    <mergeCell ref="K90:K91"/>
    <mergeCell ref="L90:L91"/>
    <mergeCell ref="M90:M91"/>
    <mergeCell ref="N90:N91"/>
    <mergeCell ref="B92:B104"/>
    <mergeCell ref="C92:C96"/>
    <mergeCell ref="C97:C99"/>
    <mergeCell ref="C100:C104"/>
    <mergeCell ref="B90:B91"/>
    <mergeCell ref="E90:E91"/>
    <mergeCell ref="F90:F91"/>
    <mergeCell ref="G90:G91"/>
    <mergeCell ref="H90:H91"/>
    <mergeCell ref="I90:I91"/>
    <mergeCell ref="B60:B73"/>
    <mergeCell ref="C60:C63"/>
    <mergeCell ref="C64:C68"/>
    <mergeCell ref="C69:C73"/>
    <mergeCell ref="B74:B88"/>
    <mergeCell ref="C74:C78"/>
    <mergeCell ref="C79:C83"/>
    <mergeCell ref="C84:C88"/>
    <mergeCell ref="J45:J46"/>
    <mergeCell ref="K45:K46"/>
    <mergeCell ref="L45:L46"/>
    <mergeCell ref="M45:M46"/>
    <mergeCell ref="N45:N46"/>
    <mergeCell ref="B47:B59"/>
    <mergeCell ref="C47:C51"/>
    <mergeCell ref="C52:C54"/>
    <mergeCell ref="C55:C59"/>
    <mergeCell ref="B45:B46"/>
    <mergeCell ref="E45:E46"/>
    <mergeCell ref="F45:F46"/>
    <mergeCell ref="G45:G46"/>
    <mergeCell ref="H45:H46"/>
    <mergeCell ref="I45:I46"/>
    <mergeCell ref="N29:N30"/>
    <mergeCell ref="B31:B43"/>
    <mergeCell ref="C31:C35"/>
    <mergeCell ref="C36:C38"/>
    <mergeCell ref="C39:C43"/>
    <mergeCell ref="B29:B30"/>
    <mergeCell ref="E29:E30"/>
    <mergeCell ref="F29:F30"/>
    <mergeCell ref="G29:G30"/>
    <mergeCell ref="H29:H30"/>
    <mergeCell ref="I29:I30"/>
    <mergeCell ref="B26:B27"/>
    <mergeCell ref="C26:C27"/>
    <mergeCell ref="H14:H15"/>
    <mergeCell ref="I14:I15"/>
    <mergeCell ref="J14:J15"/>
    <mergeCell ref="J29:J30"/>
    <mergeCell ref="K29:K30"/>
    <mergeCell ref="L29:L30"/>
    <mergeCell ref="M29:M30"/>
    <mergeCell ref="B18:B25"/>
    <mergeCell ref="C18:C25"/>
    <mergeCell ref="B16:B17"/>
    <mergeCell ref="C16:C17"/>
    <mergeCell ref="B2:C12"/>
    <mergeCell ref="D2:E3"/>
    <mergeCell ref="G2:I3"/>
    <mergeCell ref="K2:N2"/>
    <mergeCell ref="B14:B15"/>
    <mergeCell ref="C14:C15"/>
    <mergeCell ref="D14:D15"/>
    <mergeCell ref="E14:E15"/>
    <mergeCell ref="F14:F15"/>
    <mergeCell ref="G14:G15"/>
    <mergeCell ref="N14:N15"/>
    <mergeCell ref="K14:K15"/>
    <mergeCell ref="L14:L15"/>
    <mergeCell ref="M14:M15"/>
  </mergeCells>
  <conditionalFormatting sqref="E10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  <ignoredErrors>
    <ignoredError sqref="I24 N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9699-E675-4CCE-90DB-2112E8B3FDA9}">
  <dimension ref="A1:N45"/>
  <sheetViews>
    <sheetView zoomScaleNormal="100" workbookViewId="0">
      <selection activeCell="Q7" sqref="Q7"/>
    </sheetView>
  </sheetViews>
  <sheetFormatPr defaultRowHeight="14.25" x14ac:dyDescent="0.45"/>
  <cols>
    <col min="1" max="1" width="1.73046875" style="2" customWidth="1"/>
    <col min="2" max="2" width="23.86328125" style="2" bestFit="1" customWidth="1"/>
    <col min="3" max="5" width="15.33203125" style="2" customWidth="1"/>
    <col min="6" max="8" width="16.6640625" style="2" customWidth="1"/>
    <col min="9" max="13" width="20.33203125" style="2" customWidth="1"/>
    <col min="14" max="14" width="1.73046875" style="2" customWidth="1"/>
    <col min="15" max="16384" width="9.06640625" style="2"/>
  </cols>
  <sheetData>
    <row r="1" spans="1:14" x14ac:dyDescent="0.4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8.850000000000001" customHeight="1" x14ac:dyDescent="0.45">
      <c r="B2" s="168" t="s">
        <v>100</v>
      </c>
      <c r="C2" s="116"/>
      <c r="D2" s="116"/>
      <c r="E2" s="166" t="s">
        <v>21</v>
      </c>
      <c r="F2" s="117" t="s">
        <v>88</v>
      </c>
      <c r="G2" s="118" t="s">
        <v>89</v>
      </c>
      <c r="H2" s="118" t="s">
        <v>90</v>
      </c>
      <c r="I2" s="117" t="s">
        <v>88</v>
      </c>
      <c r="J2" s="117"/>
      <c r="K2" s="117"/>
      <c r="L2" s="117"/>
      <c r="M2" s="119"/>
      <c r="N2" s="9"/>
    </row>
    <row r="3" spans="1:14" ht="18.399999999999999" customHeight="1" x14ac:dyDescent="0.45">
      <c r="A3" s="9"/>
      <c r="B3" s="169"/>
      <c r="C3" s="120"/>
      <c r="D3" s="120"/>
      <c r="E3" s="167"/>
      <c r="F3" s="121" t="s">
        <v>95</v>
      </c>
      <c r="G3" s="122" t="s">
        <v>96</v>
      </c>
      <c r="H3" s="122" t="s">
        <v>96</v>
      </c>
      <c r="I3" s="121" t="s">
        <v>103</v>
      </c>
      <c r="J3" s="121" t="s">
        <v>104</v>
      </c>
      <c r="K3" s="121" t="s">
        <v>97</v>
      </c>
      <c r="L3" s="121" t="s">
        <v>98</v>
      </c>
      <c r="M3" s="123"/>
      <c r="N3" s="9"/>
    </row>
    <row r="4" spans="1:14" ht="18.399999999999999" customHeight="1" x14ac:dyDescent="0.45">
      <c r="A4" s="9"/>
      <c r="B4" s="110" t="s">
        <v>99</v>
      </c>
      <c r="C4" s="111" t="s">
        <v>112</v>
      </c>
      <c r="D4" s="111" t="s">
        <v>110</v>
      </c>
      <c r="E4" s="111" t="s">
        <v>105</v>
      </c>
      <c r="F4" s="111" t="s">
        <v>106</v>
      </c>
      <c r="G4" s="111" t="s">
        <v>107</v>
      </c>
      <c r="H4" s="111" t="s">
        <v>108</v>
      </c>
      <c r="I4" s="111" t="s">
        <v>101</v>
      </c>
      <c r="J4" s="111" t="s">
        <v>102</v>
      </c>
      <c r="K4" s="111" t="s">
        <v>91</v>
      </c>
      <c r="L4" s="111" t="s">
        <v>92</v>
      </c>
      <c r="M4" s="112" t="s">
        <v>109</v>
      </c>
      <c r="N4" s="9"/>
    </row>
    <row r="5" spans="1:14" x14ac:dyDescent="0.45">
      <c r="A5" s="9"/>
      <c r="B5" s="104" t="s">
        <v>94</v>
      </c>
      <c r="C5" s="106">
        <v>0.1</v>
      </c>
      <c r="D5" s="106" t="s">
        <v>111</v>
      </c>
      <c r="E5" s="105">
        <v>2</v>
      </c>
      <c r="F5" s="105">
        <v>1</v>
      </c>
      <c r="G5" s="105">
        <f>F5</f>
        <v>1</v>
      </c>
      <c r="H5" s="105">
        <f>E5-F5-G5</f>
        <v>0</v>
      </c>
      <c r="I5" s="106">
        <f>F5/E5</f>
        <v>0.5</v>
      </c>
      <c r="J5" s="106">
        <f>1-I5</f>
        <v>0.5</v>
      </c>
      <c r="K5" s="106">
        <f t="shared" ref="K5:K42" si="0">G5/F5</f>
        <v>1</v>
      </c>
      <c r="L5" s="106">
        <f>H5/F5</f>
        <v>0</v>
      </c>
      <c r="M5" s="107">
        <f>K5+L5</f>
        <v>1</v>
      </c>
      <c r="N5" s="9"/>
    </row>
    <row r="6" spans="1:14" x14ac:dyDescent="0.45">
      <c r="A6" s="9"/>
      <c r="B6" s="104" t="s">
        <v>93</v>
      </c>
      <c r="C6" s="106">
        <v>0.2</v>
      </c>
      <c r="D6" s="106" t="s">
        <v>111</v>
      </c>
      <c r="E6" s="105">
        <v>2</v>
      </c>
      <c r="F6" s="105">
        <v>1</v>
      </c>
      <c r="G6" s="105">
        <f t="shared" ref="G6:G10" si="1">F6</f>
        <v>1</v>
      </c>
      <c r="H6" s="105">
        <f>E6-F6-G6</f>
        <v>0</v>
      </c>
      <c r="I6" s="106">
        <f>F6/E6</f>
        <v>0.5</v>
      </c>
      <c r="J6" s="106">
        <f t="shared" ref="J6:J8" si="2">1-I6</f>
        <v>0.5</v>
      </c>
      <c r="K6" s="106">
        <f t="shared" ref="K6" si="3">G6/F6</f>
        <v>1</v>
      </c>
      <c r="L6" s="106">
        <f t="shared" ref="L6:L8" si="4">H6/F6</f>
        <v>0</v>
      </c>
      <c r="M6" s="107">
        <f t="shared" ref="M6:M8" si="5">K6+L6</f>
        <v>1</v>
      </c>
      <c r="N6" s="9"/>
    </row>
    <row r="7" spans="1:14" x14ac:dyDescent="0.45">
      <c r="A7" s="9"/>
      <c r="B7" s="104" t="str">
        <f>"Luxury " &amp; E7 &amp; "X"</f>
        <v>Luxury 2.5X</v>
      </c>
      <c r="C7" s="106">
        <v>0.3</v>
      </c>
      <c r="D7" s="106">
        <v>7.4999999999999997E-2</v>
      </c>
      <c r="E7" s="105">
        <v>2.5</v>
      </c>
      <c r="F7" s="105">
        <v>1</v>
      </c>
      <c r="G7" s="105">
        <f t="shared" si="1"/>
        <v>1</v>
      </c>
      <c r="H7" s="105">
        <f t="shared" ref="H7:H10" si="6">E7-F7-G7</f>
        <v>0.5</v>
      </c>
      <c r="I7" s="106">
        <f t="shared" ref="I7:I10" si="7">F7/E7</f>
        <v>0.4</v>
      </c>
      <c r="J7" s="106">
        <f t="shared" si="2"/>
        <v>0.6</v>
      </c>
      <c r="K7" s="106">
        <f t="shared" si="0"/>
        <v>1</v>
      </c>
      <c r="L7" s="106">
        <f t="shared" si="4"/>
        <v>0.5</v>
      </c>
      <c r="M7" s="107">
        <f t="shared" si="5"/>
        <v>1.5</v>
      </c>
      <c r="N7" s="9"/>
    </row>
    <row r="8" spans="1:14" x14ac:dyDescent="0.45">
      <c r="A8" s="9"/>
      <c r="B8" s="104" t="str">
        <f t="shared" ref="B8:B10" si="8">"Luxury " &amp; E8 &amp; "X"</f>
        <v>Luxury 3X</v>
      </c>
      <c r="C8" s="106">
        <v>0.3</v>
      </c>
      <c r="D8" s="106">
        <v>7.4999999999999997E-2</v>
      </c>
      <c r="E8" s="105">
        <v>3</v>
      </c>
      <c r="F8" s="105">
        <v>1</v>
      </c>
      <c r="G8" s="105">
        <f t="shared" si="1"/>
        <v>1</v>
      </c>
      <c r="H8" s="105">
        <f t="shared" si="6"/>
        <v>1</v>
      </c>
      <c r="I8" s="106">
        <f t="shared" si="7"/>
        <v>0.33333333333333331</v>
      </c>
      <c r="J8" s="106">
        <f t="shared" si="2"/>
        <v>0.66666666666666674</v>
      </c>
      <c r="K8" s="106">
        <f t="shared" si="0"/>
        <v>1</v>
      </c>
      <c r="L8" s="106">
        <f t="shared" si="4"/>
        <v>1</v>
      </c>
      <c r="M8" s="107">
        <f t="shared" si="5"/>
        <v>2</v>
      </c>
      <c r="N8" s="9"/>
    </row>
    <row r="9" spans="1:14" x14ac:dyDescent="0.45">
      <c r="A9" s="9"/>
      <c r="B9" s="108" t="str">
        <f t="shared" si="8"/>
        <v>Luxury 3.5X</v>
      </c>
      <c r="C9" s="69">
        <v>0.3</v>
      </c>
      <c r="D9" s="69">
        <v>7.4999999999999997E-2</v>
      </c>
      <c r="E9" s="113">
        <v>3.5</v>
      </c>
      <c r="F9" s="114">
        <v>1</v>
      </c>
      <c r="G9" s="114">
        <f t="shared" si="1"/>
        <v>1</v>
      </c>
      <c r="H9" s="114">
        <f t="shared" si="6"/>
        <v>1.5</v>
      </c>
      <c r="I9" s="115">
        <f t="shared" si="7"/>
        <v>0.2857142857142857</v>
      </c>
      <c r="J9" s="115">
        <f>1-I9</f>
        <v>0.7142857142857143</v>
      </c>
      <c r="K9" s="115">
        <f t="shared" si="0"/>
        <v>1</v>
      </c>
      <c r="L9" s="68">
        <f>H9/F9</f>
        <v>1.5</v>
      </c>
      <c r="M9" s="68">
        <f>K9+L9</f>
        <v>2.5</v>
      </c>
      <c r="N9" s="9"/>
    </row>
    <row r="10" spans="1:14" x14ac:dyDescent="0.45">
      <c r="A10" s="9"/>
      <c r="B10" s="108" t="str">
        <f t="shared" si="8"/>
        <v>Luxury 4X</v>
      </c>
      <c r="C10" s="69">
        <v>0.3</v>
      </c>
      <c r="D10" s="69">
        <v>7.4999999999999997E-2</v>
      </c>
      <c r="E10" s="113">
        <v>4</v>
      </c>
      <c r="F10" s="114">
        <v>1</v>
      </c>
      <c r="G10" s="114">
        <f t="shared" si="1"/>
        <v>1</v>
      </c>
      <c r="H10" s="114">
        <f t="shared" si="6"/>
        <v>2</v>
      </c>
      <c r="I10" s="115">
        <f t="shared" si="7"/>
        <v>0.25</v>
      </c>
      <c r="J10" s="115">
        <f t="shared" ref="J10:J42" si="9">1-I10</f>
        <v>0.75</v>
      </c>
      <c r="K10" s="115">
        <f t="shared" si="0"/>
        <v>1</v>
      </c>
      <c r="L10" s="68">
        <f t="shared" ref="L10:L42" si="10">H10/F10</f>
        <v>2</v>
      </c>
      <c r="M10" s="68">
        <f t="shared" ref="M10:M42" si="11">K10+L10</f>
        <v>3</v>
      </c>
      <c r="N10" s="9"/>
    </row>
    <row r="11" spans="1:14" x14ac:dyDescent="0.45">
      <c r="A11" s="9"/>
      <c r="B11" s="108" t="str">
        <f>"Luxury " &amp; E11 &amp; "X"</f>
        <v>Luxury 4.5X</v>
      </c>
      <c r="C11" s="69">
        <v>0.3</v>
      </c>
      <c r="D11" s="69">
        <v>7.4999999999999997E-2</v>
      </c>
      <c r="E11" s="108">
        <v>4.5</v>
      </c>
      <c r="F11" s="108">
        <v>1</v>
      </c>
      <c r="G11" s="108">
        <f>F11</f>
        <v>1</v>
      </c>
      <c r="H11" s="108">
        <f>E11-F11-G11</f>
        <v>2.5</v>
      </c>
      <c r="I11" s="69">
        <f>F11/E11</f>
        <v>0.22222222222222221</v>
      </c>
      <c r="J11" s="115">
        <f t="shared" si="9"/>
        <v>0.77777777777777779</v>
      </c>
      <c r="K11" s="69">
        <f t="shared" si="0"/>
        <v>1</v>
      </c>
      <c r="L11" s="68">
        <f t="shared" si="10"/>
        <v>2.5</v>
      </c>
      <c r="M11" s="68">
        <f t="shared" si="11"/>
        <v>3.5</v>
      </c>
      <c r="N11" s="9"/>
    </row>
    <row r="12" spans="1:14" x14ac:dyDescent="0.45">
      <c r="A12" s="9"/>
      <c r="B12" s="108" t="str">
        <f t="shared" ref="B12:B42" si="12">"Luxury " &amp; E12 &amp; "X"</f>
        <v>Luxury 5X</v>
      </c>
      <c r="C12" s="69">
        <v>0.3</v>
      </c>
      <c r="D12" s="69">
        <v>7.4999999999999997E-2</v>
      </c>
      <c r="E12" s="108">
        <v>5</v>
      </c>
      <c r="F12" s="108">
        <v>1</v>
      </c>
      <c r="G12" s="108">
        <f t="shared" ref="G12:G42" si="13">F12</f>
        <v>1</v>
      </c>
      <c r="H12" s="108">
        <f t="shared" ref="H12:H42" si="14">E12-F12-G12</f>
        <v>3</v>
      </c>
      <c r="I12" s="69">
        <f t="shared" ref="I12:I42" si="15">F12/E12</f>
        <v>0.2</v>
      </c>
      <c r="J12" s="115">
        <f t="shared" si="9"/>
        <v>0.8</v>
      </c>
      <c r="K12" s="69">
        <f t="shared" si="0"/>
        <v>1</v>
      </c>
      <c r="L12" s="68">
        <f t="shared" si="10"/>
        <v>3</v>
      </c>
      <c r="M12" s="68">
        <f t="shared" si="11"/>
        <v>4</v>
      </c>
      <c r="N12" s="9"/>
    </row>
    <row r="13" spans="1:14" x14ac:dyDescent="0.45">
      <c r="A13" s="9"/>
      <c r="B13" s="108" t="str">
        <f t="shared" si="12"/>
        <v>Luxury 5.5X</v>
      </c>
      <c r="C13" s="69">
        <v>0.3</v>
      </c>
      <c r="D13" s="69">
        <v>7.4999999999999997E-2</v>
      </c>
      <c r="E13" s="108">
        <v>5.5</v>
      </c>
      <c r="F13" s="108">
        <v>1</v>
      </c>
      <c r="G13" s="108">
        <f t="shared" si="13"/>
        <v>1</v>
      </c>
      <c r="H13" s="108">
        <f t="shared" si="14"/>
        <v>3.5</v>
      </c>
      <c r="I13" s="69">
        <f t="shared" si="15"/>
        <v>0.18181818181818182</v>
      </c>
      <c r="J13" s="115">
        <f t="shared" si="9"/>
        <v>0.81818181818181812</v>
      </c>
      <c r="K13" s="69">
        <f t="shared" si="0"/>
        <v>1</v>
      </c>
      <c r="L13" s="68">
        <f t="shared" si="10"/>
        <v>3.5</v>
      </c>
      <c r="M13" s="68">
        <f t="shared" si="11"/>
        <v>4.5</v>
      </c>
      <c r="N13" s="9"/>
    </row>
    <row r="14" spans="1:14" x14ac:dyDescent="0.45">
      <c r="A14" s="9"/>
      <c r="B14" s="108" t="str">
        <f t="shared" si="12"/>
        <v>Luxury 6X</v>
      </c>
      <c r="C14" s="69">
        <v>0.3</v>
      </c>
      <c r="D14" s="69">
        <v>7.4999999999999997E-2</v>
      </c>
      <c r="E14" s="108">
        <v>6</v>
      </c>
      <c r="F14" s="108">
        <v>1</v>
      </c>
      <c r="G14" s="108">
        <f t="shared" si="13"/>
        <v>1</v>
      </c>
      <c r="H14" s="108">
        <f t="shared" si="14"/>
        <v>4</v>
      </c>
      <c r="I14" s="69">
        <f t="shared" si="15"/>
        <v>0.16666666666666666</v>
      </c>
      <c r="J14" s="115">
        <f t="shared" si="9"/>
        <v>0.83333333333333337</v>
      </c>
      <c r="K14" s="69">
        <f t="shared" si="0"/>
        <v>1</v>
      </c>
      <c r="L14" s="68">
        <f t="shared" si="10"/>
        <v>4</v>
      </c>
      <c r="M14" s="68">
        <f t="shared" si="11"/>
        <v>5</v>
      </c>
      <c r="N14" s="9"/>
    </row>
    <row r="15" spans="1:14" x14ac:dyDescent="0.45">
      <c r="A15" s="9"/>
      <c r="B15" s="108" t="str">
        <f t="shared" si="12"/>
        <v>Luxury 6.5X</v>
      </c>
      <c r="C15" s="69">
        <v>0.3</v>
      </c>
      <c r="D15" s="69">
        <v>7.4999999999999997E-2</v>
      </c>
      <c r="E15" s="108">
        <v>6.5</v>
      </c>
      <c r="F15" s="108">
        <v>1</v>
      </c>
      <c r="G15" s="108">
        <f t="shared" si="13"/>
        <v>1</v>
      </c>
      <c r="H15" s="108">
        <f t="shared" si="14"/>
        <v>4.5</v>
      </c>
      <c r="I15" s="69">
        <f t="shared" si="15"/>
        <v>0.15384615384615385</v>
      </c>
      <c r="J15" s="115">
        <f t="shared" si="9"/>
        <v>0.84615384615384615</v>
      </c>
      <c r="K15" s="69">
        <f t="shared" si="0"/>
        <v>1</v>
      </c>
      <c r="L15" s="68">
        <f t="shared" si="10"/>
        <v>4.5</v>
      </c>
      <c r="M15" s="68">
        <f t="shared" si="11"/>
        <v>5.5</v>
      </c>
      <c r="N15" s="9"/>
    </row>
    <row r="16" spans="1:14" x14ac:dyDescent="0.45">
      <c r="A16" s="9"/>
      <c r="B16" s="108" t="str">
        <f t="shared" si="12"/>
        <v>Luxury 7X</v>
      </c>
      <c r="C16" s="69">
        <v>0.3</v>
      </c>
      <c r="D16" s="69">
        <v>7.4999999999999997E-2</v>
      </c>
      <c r="E16" s="108">
        <v>7</v>
      </c>
      <c r="F16" s="108">
        <v>1</v>
      </c>
      <c r="G16" s="108">
        <f t="shared" si="13"/>
        <v>1</v>
      </c>
      <c r="H16" s="108">
        <f t="shared" si="14"/>
        <v>5</v>
      </c>
      <c r="I16" s="69">
        <f t="shared" si="15"/>
        <v>0.14285714285714285</v>
      </c>
      <c r="J16" s="115">
        <f t="shared" si="9"/>
        <v>0.85714285714285721</v>
      </c>
      <c r="K16" s="69">
        <f t="shared" si="0"/>
        <v>1</v>
      </c>
      <c r="L16" s="68">
        <f t="shared" si="10"/>
        <v>5</v>
      </c>
      <c r="M16" s="68">
        <f t="shared" si="11"/>
        <v>6</v>
      </c>
      <c r="N16" s="9"/>
    </row>
    <row r="17" spans="1:14" x14ac:dyDescent="0.45">
      <c r="A17" s="9"/>
      <c r="B17" s="108" t="str">
        <f t="shared" si="12"/>
        <v>Luxury 7.5X</v>
      </c>
      <c r="C17" s="69">
        <v>0.3</v>
      </c>
      <c r="D17" s="69">
        <v>7.4999999999999997E-2</v>
      </c>
      <c r="E17" s="108">
        <v>7.5</v>
      </c>
      <c r="F17" s="108">
        <v>1</v>
      </c>
      <c r="G17" s="108">
        <f t="shared" si="13"/>
        <v>1</v>
      </c>
      <c r="H17" s="108">
        <f t="shared" si="14"/>
        <v>5.5</v>
      </c>
      <c r="I17" s="69">
        <f t="shared" si="15"/>
        <v>0.13333333333333333</v>
      </c>
      <c r="J17" s="115">
        <f t="shared" si="9"/>
        <v>0.8666666666666667</v>
      </c>
      <c r="K17" s="69">
        <f t="shared" si="0"/>
        <v>1</v>
      </c>
      <c r="L17" s="68">
        <f t="shared" si="10"/>
        <v>5.5</v>
      </c>
      <c r="M17" s="68">
        <f t="shared" si="11"/>
        <v>6.5</v>
      </c>
      <c r="N17" s="9"/>
    </row>
    <row r="18" spans="1:14" x14ac:dyDescent="0.45">
      <c r="A18" s="9"/>
      <c r="B18" s="108" t="str">
        <f t="shared" si="12"/>
        <v>Luxury 8X</v>
      </c>
      <c r="C18" s="69">
        <v>0.3</v>
      </c>
      <c r="D18" s="69">
        <v>7.4999999999999997E-2</v>
      </c>
      <c r="E18" s="108">
        <v>8</v>
      </c>
      <c r="F18" s="108">
        <v>1</v>
      </c>
      <c r="G18" s="108">
        <f t="shared" si="13"/>
        <v>1</v>
      </c>
      <c r="H18" s="108">
        <f t="shared" si="14"/>
        <v>6</v>
      </c>
      <c r="I18" s="69">
        <f t="shared" si="15"/>
        <v>0.125</v>
      </c>
      <c r="J18" s="115">
        <f t="shared" si="9"/>
        <v>0.875</v>
      </c>
      <c r="K18" s="69">
        <f t="shared" si="0"/>
        <v>1</v>
      </c>
      <c r="L18" s="68">
        <f t="shared" si="10"/>
        <v>6</v>
      </c>
      <c r="M18" s="68">
        <f t="shared" si="11"/>
        <v>7</v>
      </c>
      <c r="N18" s="9"/>
    </row>
    <row r="19" spans="1:14" x14ac:dyDescent="0.45">
      <c r="A19" s="9"/>
      <c r="B19" s="108" t="str">
        <f t="shared" si="12"/>
        <v>Luxury 8.5X</v>
      </c>
      <c r="C19" s="69">
        <v>0.3</v>
      </c>
      <c r="D19" s="69">
        <v>7.4999999999999997E-2</v>
      </c>
      <c r="E19" s="108">
        <v>8.5</v>
      </c>
      <c r="F19" s="108">
        <v>1</v>
      </c>
      <c r="G19" s="108">
        <f t="shared" si="13"/>
        <v>1</v>
      </c>
      <c r="H19" s="108">
        <f t="shared" si="14"/>
        <v>6.5</v>
      </c>
      <c r="I19" s="69">
        <f t="shared" si="15"/>
        <v>0.11764705882352941</v>
      </c>
      <c r="J19" s="115">
        <f t="shared" si="9"/>
        <v>0.88235294117647056</v>
      </c>
      <c r="K19" s="69">
        <f t="shared" si="0"/>
        <v>1</v>
      </c>
      <c r="L19" s="68">
        <f t="shared" si="10"/>
        <v>6.5</v>
      </c>
      <c r="M19" s="68">
        <f t="shared" si="11"/>
        <v>7.5</v>
      </c>
      <c r="N19" s="9"/>
    </row>
    <row r="20" spans="1:14" x14ac:dyDescent="0.45">
      <c r="A20" s="9"/>
      <c r="B20" s="108" t="str">
        <f t="shared" si="12"/>
        <v>Luxury 9X</v>
      </c>
      <c r="C20" s="69">
        <v>0.3</v>
      </c>
      <c r="D20" s="69">
        <v>7.4999999999999997E-2</v>
      </c>
      <c r="E20" s="108">
        <v>9</v>
      </c>
      <c r="F20" s="108">
        <v>1</v>
      </c>
      <c r="G20" s="108">
        <f t="shared" si="13"/>
        <v>1</v>
      </c>
      <c r="H20" s="108">
        <f t="shared" si="14"/>
        <v>7</v>
      </c>
      <c r="I20" s="69">
        <f t="shared" si="15"/>
        <v>0.1111111111111111</v>
      </c>
      <c r="J20" s="115">
        <f t="shared" si="9"/>
        <v>0.88888888888888884</v>
      </c>
      <c r="K20" s="69">
        <f t="shared" si="0"/>
        <v>1</v>
      </c>
      <c r="L20" s="68">
        <f t="shared" si="10"/>
        <v>7</v>
      </c>
      <c r="M20" s="68">
        <f t="shared" si="11"/>
        <v>8</v>
      </c>
      <c r="N20" s="9"/>
    </row>
    <row r="21" spans="1:14" x14ac:dyDescent="0.45">
      <c r="A21" s="9"/>
      <c r="B21" s="108" t="str">
        <f t="shared" si="12"/>
        <v>Luxury 9.5X</v>
      </c>
      <c r="C21" s="69">
        <v>0.3</v>
      </c>
      <c r="D21" s="69">
        <v>7.4999999999999997E-2</v>
      </c>
      <c r="E21" s="108">
        <v>9.5</v>
      </c>
      <c r="F21" s="108">
        <v>1</v>
      </c>
      <c r="G21" s="108">
        <f t="shared" si="13"/>
        <v>1</v>
      </c>
      <c r="H21" s="108">
        <f t="shared" si="14"/>
        <v>7.5</v>
      </c>
      <c r="I21" s="69">
        <f t="shared" si="15"/>
        <v>0.10526315789473684</v>
      </c>
      <c r="J21" s="115">
        <f t="shared" si="9"/>
        <v>0.89473684210526316</v>
      </c>
      <c r="K21" s="69">
        <f t="shared" si="0"/>
        <v>1</v>
      </c>
      <c r="L21" s="68">
        <f t="shared" si="10"/>
        <v>7.5</v>
      </c>
      <c r="M21" s="68">
        <f t="shared" si="11"/>
        <v>8.5</v>
      </c>
      <c r="N21" s="9"/>
    </row>
    <row r="22" spans="1:14" x14ac:dyDescent="0.45">
      <c r="A22" s="9"/>
      <c r="B22" s="108" t="str">
        <f t="shared" si="12"/>
        <v>Luxury 10X</v>
      </c>
      <c r="C22" s="69">
        <v>0.3</v>
      </c>
      <c r="D22" s="69">
        <v>7.4999999999999997E-2</v>
      </c>
      <c r="E22" s="108">
        <v>10</v>
      </c>
      <c r="F22" s="108">
        <v>1</v>
      </c>
      <c r="G22" s="108">
        <f t="shared" si="13"/>
        <v>1</v>
      </c>
      <c r="H22" s="108">
        <f t="shared" si="14"/>
        <v>8</v>
      </c>
      <c r="I22" s="69">
        <f t="shared" si="15"/>
        <v>0.1</v>
      </c>
      <c r="J22" s="115">
        <f t="shared" si="9"/>
        <v>0.9</v>
      </c>
      <c r="K22" s="69">
        <f t="shared" si="0"/>
        <v>1</v>
      </c>
      <c r="L22" s="68">
        <f t="shared" si="10"/>
        <v>8</v>
      </c>
      <c r="M22" s="68">
        <f t="shared" si="11"/>
        <v>9</v>
      </c>
      <c r="N22" s="9"/>
    </row>
    <row r="23" spans="1:14" x14ac:dyDescent="0.45">
      <c r="A23" s="9"/>
      <c r="B23" s="108" t="str">
        <f t="shared" si="12"/>
        <v>Luxury 10.5X</v>
      </c>
      <c r="C23" s="69">
        <v>0.3</v>
      </c>
      <c r="D23" s="69">
        <v>7.4999999999999997E-2</v>
      </c>
      <c r="E23" s="108">
        <v>10.5</v>
      </c>
      <c r="F23" s="108">
        <v>1</v>
      </c>
      <c r="G23" s="108">
        <f t="shared" si="13"/>
        <v>1</v>
      </c>
      <c r="H23" s="108">
        <f t="shared" si="14"/>
        <v>8.5</v>
      </c>
      <c r="I23" s="69">
        <f t="shared" si="15"/>
        <v>9.5238095238095233E-2</v>
      </c>
      <c r="J23" s="115">
        <f t="shared" si="9"/>
        <v>0.90476190476190477</v>
      </c>
      <c r="K23" s="69">
        <f t="shared" si="0"/>
        <v>1</v>
      </c>
      <c r="L23" s="68">
        <f t="shared" si="10"/>
        <v>8.5</v>
      </c>
      <c r="M23" s="68">
        <f t="shared" si="11"/>
        <v>9.5</v>
      </c>
      <c r="N23" s="9"/>
    </row>
    <row r="24" spans="1:14" x14ac:dyDescent="0.45">
      <c r="A24" s="9"/>
      <c r="B24" s="108" t="str">
        <f t="shared" si="12"/>
        <v>Luxury 11X</v>
      </c>
      <c r="C24" s="69">
        <v>0.3</v>
      </c>
      <c r="D24" s="69">
        <v>7.4999999999999997E-2</v>
      </c>
      <c r="E24" s="108">
        <v>11</v>
      </c>
      <c r="F24" s="108">
        <v>1</v>
      </c>
      <c r="G24" s="108">
        <f t="shared" si="13"/>
        <v>1</v>
      </c>
      <c r="H24" s="108">
        <f t="shared" si="14"/>
        <v>9</v>
      </c>
      <c r="I24" s="69">
        <f t="shared" si="15"/>
        <v>9.0909090909090912E-2</v>
      </c>
      <c r="J24" s="115">
        <f t="shared" si="9"/>
        <v>0.90909090909090906</v>
      </c>
      <c r="K24" s="69">
        <f t="shared" si="0"/>
        <v>1</v>
      </c>
      <c r="L24" s="68">
        <f t="shared" si="10"/>
        <v>9</v>
      </c>
      <c r="M24" s="68">
        <f t="shared" si="11"/>
        <v>10</v>
      </c>
      <c r="N24" s="9"/>
    </row>
    <row r="25" spans="1:14" x14ac:dyDescent="0.45">
      <c r="A25" s="9"/>
      <c r="B25" s="108" t="str">
        <f t="shared" si="12"/>
        <v>Luxury 11.5X</v>
      </c>
      <c r="C25" s="69">
        <v>0.3</v>
      </c>
      <c r="D25" s="69">
        <v>7.4999999999999997E-2</v>
      </c>
      <c r="E25" s="108">
        <v>11.5</v>
      </c>
      <c r="F25" s="108">
        <v>1</v>
      </c>
      <c r="G25" s="108">
        <f t="shared" si="13"/>
        <v>1</v>
      </c>
      <c r="H25" s="108">
        <f t="shared" si="14"/>
        <v>9.5</v>
      </c>
      <c r="I25" s="69">
        <f t="shared" si="15"/>
        <v>8.6956521739130432E-2</v>
      </c>
      <c r="J25" s="115">
        <f t="shared" si="9"/>
        <v>0.91304347826086962</v>
      </c>
      <c r="K25" s="69">
        <f t="shared" si="0"/>
        <v>1</v>
      </c>
      <c r="L25" s="68">
        <f t="shared" si="10"/>
        <v>9.5</v>
      </c>
      <c r="M25" s="68">
        <f t="shared" si="11"/>
        <v>10.5</v>
      </c>
      <c r="N25" s="9"/>
    </row>
    <row r="26" spans="1:14" x14ac:dyDescent="0.45">
      <c r="A26" s="9"/>
      <c r="B26" s="108" t="str">
        <f t="shared" si="12"/>
        <v>Luxury 12X</v>
      </c>
      <c r="C26" s="69">
        <v>0.3</v>
      </c>
      <c r="D26" s="69">
        <v>7.4999999999999997E-2</v>
      </c>
      <c r="E26" s="108">
        <v>12</v>
      </c>
      <c r="F26" s="108">
        <v>1</v>
      </c>
      <c r="G26" s="108">
        <f t="shared" si="13"/>
        <v>1</v>
      </c>
      <c r="H26" s="108">
        <f t="shared" si="14"/>
        <v>10</v>
      </c>
      <c r="I26" s="69">
        <f t="shared" si="15"/>
        <v>8.3333333333333329E-2</v>
      </c>
      <c r="J26" s="115">
        <f t="shared" si="9"/>
        <v>0.91666666666666663</v>
      </c>
      <c r="K26" s="69">
        <f t="shared" si="0"/>
        <v>1</v>
      </c>
      <c r="L26" s="68">
        <f t="shared" si="10"/>
        <v>10</v>
      </c>
      <c r="M26" s="68">
        <f t="shared" si="11"/>
        <v>11</v>
      </c>
      <c r="N26" s="9"/>
    </row>
    <row r="27" spans="1:14" x14ac:dyDescent="0.45">
      <c r="A27" s="9"/>
      <c r="B27" s="108" t="str">
        <f t="shared" si="12"/>
        <v>Luxury 12.5X</v>
      </c>
      <c r="C27" s="69">
        <v>0.3</v>
      </c>
      <c r="D27" s="69">
        <v>7.4999999999999997E-2</v>
      </c>
      <c r="E27" s="108">
        <v>12.5</v>
      </c>
      <c r="F27" s="108">
        <v>1</v>
      </c>
      <c r="G27" s="108">
        <f t="shared" si="13"/>
        <v>1</v>
      </c>
      <c r="H27" s="108">
        <f t="shared" si="14"/>
        <v>10.5</v>
      </c>
      <c r="I27" s="69">
        <f t="shared" si="15"/>
        <v>0.08</v>
      </c>
      <c r="J27" s="115">
        <f t="shared" si="9"/>
        <v>0.92</v>
      </c>
      <c r="K27" s="69">
        <f t="shared" si="0"/>
        <v>1</v>
      </c>
      <c r="L27" s="68">
        <f t="shared" si="10"/>
        <v>10.5</v>
      </c>
      <c r="M27" s="68">
        <f t="shared" si="11"/>
        <v>11.5</v>
      </c>
      <c r="N27" s="9"/>
    </row>
    <row r="28" spans="1:14" x14ac:dyDescent="0.45">
      <c r="A28" s="9"/>
      <c r="B28" s="108" t="str">
        <f t="shared" si="12"/>
        <v>Luxury 13X</v>
      </c>
      <c r="C28" s="69">
        <v>0.3</v>
      </c>
      <c r="D28" s="69">
        <v>7.4999999999999997E-2</v>
      </c>
      <c r="E28" s="108">
        <v>13</v>
      </c>
      <c r="F28" s="108">
        <v>1</v>
      </c>
      <c r="G28" s="108">
        <f t="shared" si="13"/>
        <v>1</v>
      </c>
      <c r="H28" s="108">
        <f t="shared" si="14"/>
        <v>11</v>
      </c>
      <c r="I28" s="69">
        <f t="shared" si="15"/>
        <v>7.6923076923076927E-2</v>
      </c>
      <c r="J28" s="115">
        <f t="shared" si="9"/>
        <v>0.92307692307692313</v>
      </c>
      <c r="K28" s="69">
        <f t="shared" si="0"/>
        <v>1</v>
      </c>
      <c r="L28" s="68">
        <f t="shared" si="10"/>
        <v>11</v>
      </c>
      <c r="M28" s="68">
        <f t="shared" si="11"/>
        <v>12</v>
      </c>
      <c r="N28" s="9"/>
    </row>
    <row r="29" spans="1:14" x14ac:dyDescent="0.45">
      <c r="A29" s="9"/>
      <c r="B29" s="108" t="str">
        <f t="shared" si="12"/>
        <v>Luxury 13.5X</v>
      </c>
      <c r="C29" s="69">
        <v>0.3</v>
      </c>
      <c r="D29" s="69">
        <v>7.4999999999999997E-2</v>
      </c>
      <c r="E29" s="108">
        <v>13.5</v>
      </c>
      <c r="F29" s="108">
        <v>1</v>
      </c>
      <c r="G29" s="108">
        <f t="shared" si="13"/>
        <v>1</v>
      </c>
      <c r="H29" s="108">
        <f t="shared" si="14"/>
        <v>11.5</v>
      </c>
      <c r="I29" s="69">
        <f t="shared" si="15"/>
        <v>7.407407407407407E-2</v>
      </c>
      <c r="J29" s="115">
        <f t="shared" si="9"/>
        <v>0.92592592592592593</v>
      </c>
      <c r="K29" s="69">
        <f t="shared" si="0"/>
        <v>1</v>
      </c>
      <c r="L29" s="68">
        <f t="shared" si="10"/>
        <v>11.5</v>
      </c>
      <c r="M29" s="68">
        <f t="shared" si="11"/>
        <v>12.5</v>
      </c>
      <c r="N29" s="9"/>
    </row>
    <row r="30" spans="1:14" x14ac:dyDescent="0.45">
      <c r="A30" s="9"/>
      <c r="B30" s="108" t="str">
        <f t="shared" si="12"/>
        <v>Luxury 14X</v>
      </c>
      <c r="C30" s="69">
        <v>0.3</v>
      </c>
      <c r="D30" s="69">
        <v>7.4999999999999997E-2</v>
      </c>
      <c r="E30" s="108">
        <v>14</v>
      </c>
      <c r="F30" s="108">
        <v>1</v>
      </c>
      <c r="G30" s="108">
        <f t="shared" si="13"/>
        <v>1</v>
      </c>
      <c r="H30" s="108">
        <f t="shared" si="14"/>
        <v>12</v>
      </c>
      <c r="I30" s="69">
        <f t="shared" si="15"/>
        <v>7.1428571428571425E-2</v>
      </c>
      <c r="J30" s="115">
        <f t="shared" si="9"/>
        <v>0.9285714285714286</v>
      </c>
      <c r="K30" s="69">
        <f t="shared" si="0"/>
        <v>1</v>
      </c>
      <c r="L30" s="68">
        <f t="shared" si="10"/>
        <v>12</v>
      </c>
      <c r="M30" s="68">
        <f t="shared" si="11"/>
        <v>13</v>
      </c>
      <c r="N30" s="9"/>
    </row>
    <row r="31" spans="1:14" x14ac:dyDescent="0.45">
      <c r="A31" s="9"/>
      <c r="B31" s="108" t="str">
        <f t="shared" si="12"/>
        <v>Luxury 14.5X</v>
      </c>
      <c r="C31" s="69">
        <v>0.3</v>
      </c>
      <c r="D31" s="69">
        <v>7.4999999999999997E-2</v>
      </c>
      <c r="E31" s="108">
        <v>14.5</v>
      </c>
      <c r="F31" s="108">
        <v>1</v>
      </c>
      <c r="G31" s="108">
        <f t="shared" si="13"/>
        <v>1</v>
      </c>
      <c r="H31" s="108">
        <f t="shared" si="14"/>
        <v>12.5</v>
      </c>
      <c r="I31" s="69">
        <f t="shared" si="15"/>
        <v>6.8965517241379309E-2</v>
      </c>
      <c r="J31" s="115">
        <f t="shared" si="9"/>
        <v>0.93103448275862066</v>
      </c>
      <c r="K31" s="69">
        <f t="shared" si="0"/>
        <v>1</v>
      </c>
      <c r="L31" s="68">
        <f t="shared" si="10"/>
        <v>12.5</v>
      </c>
      <c r="M31" s="68">
        <f t="shared" si="11"/>
        <v>13.5</v>
      </c>
      <c r="N31" s="9"/>
    </row>
    <row r="32" spans="1:14" x14ac:dyDescent="0.45">
      <c r="A32" s="9"/>
      <c r="B32" s="108" t="str">
        <f t="shared" si="12"/>
        <v>Luxury 15X</v>
      </c>
      <c r="C32" s="69">
        <v>0.3</v>
      </c>
      <c r="D32" s="69">
        <v>7.4999999999999997E-2</v>
      </c>
      <c r="E32" s="108">
        <v>15</v>
      </c>
      <c r="F32" s="108">
        <v>1</v>
      </c>
      <c r="G32" s="108">
        <f t="shared" si="13"/>
        <v>1</v>
      </c>
      <c r="H32" s="108">
        <f t="shared" si="14"/>
        <v>13</v>
      </c>
      <c r="I32" s="69">
        <f t="shared" si="15"/>
        <v>6.6666666666666666E-2</v>
      </c>
      <c r="J32" s="115">
        <f t="shared" si="9"/>
        <v>0.93333333333333335</v>
      </c>
      <c r="K32" s="69">
        <f t="shared" si="0"/>
        <v>1</v>
      </c>
      <c r="L32" s="68">
        <f t="shared" si="10"/>
        <v>13</v>
      </c>
      <c r="M32" s="68">
        <f t="shared" si="11"/>
        <v>14</v>
      </c>
      <c r="N32" s="9"/>
    </row>
    <row r="33" spans="1:14" x14ac:dyDescent="0.45">
      <c r="A33" s="9"/>
      <c r="B33" s="108" t="str">
        <f t="shared" si="12"/>
        <v>Luxury 15.5X</v>
      </c>
      <c r="C33" s="69">
        <v>0.3</v>
      </c>
      <c r="D33" s="69">
        <v>7.4999999999999997E-2</v>
      </c>
      <c r="E33" s="108">
        <v>15.5</v>
      </c>
      <c r="F33" s="108">
        <v>1</v>
      </c>
      <c r="G33" s="108">
        <f t="shared" si="13"/>
        <v>1</v>
      </c>
      <c r="H33" s="108">
        <f t="shared" si="14"/>
        <v>13.5</v>
      </c>
      <c r="I33" s="69">
        <f t="shared" si="15"/>
        <v>6.4516129032258063E-2</v>
      </c>
      <c r="J33" s="115">
        <f t="shared" si="9"/>
        <v>0.93548387096774199</v>
      </c>
      <c r="K33" s="69">
        <f t="shared" si="0"/>
        <v>1</v>
      </c>
      <c r="L33" s="68">
        <f t="shared" si="10"/>
        <v>13.5</v>
      </c>
      <c r="M33" s="68">
        <f t="shared" si="11"/>
        <v>14.5</v>
      </c>
      <c r="N33" s="9"/>
    </row>
    <row r="34" spans="1:14" x14ac:dyDescent="0.45">
      <c r="A34" s="9"/>
      <c r="B34" s="108" t="str">
        <f t="shared" si="12"/>
        <v>Luxury 16X</v>
      </c>
      <c r="C34" s="69">
        <v>0.3</v>
      </c>
      <c r="D34" s="69">
        <v>7.4999999999999997E-2</v>
      </c>
      <c r="E34" s="108">
        <v>16</v>
      </c>
      <c r="F34" s="108">
        <v>1</v>
      </c>
      <c r="G34" s="108">
        <f t="shared" si="13"/>
        <v>1</v>
      </c>
      <c r="H34" s="108">
        <f t="shared" si="14"/>
        <v>14</v>
      </c>
      <c r="I34" s="69">
        <f t="shared" si="15"/>
        <v>6.25E-2</v>
      </c>
      <c r="J34" s="115">
        <f t="shared" si="9"/>
        <v>0.9375</v>
      </c>
      <c r="K34" s="69">
        <f t="shared" si="0"/>
        <v>1</v>
      </c>
      <c r="L34" s="68">
        <f t="shared" si="10"/>
        <v>14</v>
      </c>
      <c r="M34" s="68">
        <f t="shared" si="11"/>
        <v>15</v>
      </c>
      <c r="N34" s="9"/>
    </row>
    <row r="35" spans="1:14" x14ac:dyDescent="0.45">
      <c r="A35" s="9"/>
      <c r="B35" s="108" t="str">
        <f t="shared" si="12"/>
        <v>Luxury 16.5X</v>
      </c>
      <c r="C35" s="69">
        <v>0.3</v>
      </c>
      <c r="D35" s="69">
        <v>7.4999999999999997E-2</v>
      </c>
      <c r="E35" s="108">
        <v>16.5</v>
      </c>
      <c r="F35" s="108">
        <v>1</v>
      </c>
      <c r="G35" s="108">
        <f t="shared" si="13"/>
        <v>1</v>
      </c>
      <c r="H35" s="108">
        <f t="shared" si="14"/>
        <v>14.5</v>
      </c>
      <c r="I35" s="69">
        <f t="shared" si="15"/>
        <v>6.0606060606060608E-2</v>
      </c>
      <c r="J35" s="115">
        <f t="shared" si="9"/>
        <v>0.93939393939393945</v>
      </c>
      <c r="K35" s="69">
        <f t="shared" si="0"/>
        <v>1</v>
      </c>
      <c r="L35" s="68">
        <f t="shared" si="10"/>
        <v>14.5</v>
      </c>
      <c r="M35" s="68">
        <f t="shared" si="11"/>
        <v>15.5</v>
      </c>
      <c r="N35" s="9"/>
    </row>
    <row r="36" spans="1:14" x14ac:dyDescent="0.45">
      <c r="A36" s="9"/>
      <c r="B36" s="108" t="str">
        <f t="shared" si="12"/>
        <v>Luxury 17X</v>
      </c>
      <c r="C36" s="69">
        <v>0.3</v>
      </c>
      <c r="D36" s="69">
        <v>7.4999999999999997E-2</v>
      </c>
      <c r="E36" s="108">
        <v>17</v>
      </c>
      <c r="F36" s="108">
        <v>1</v>
      </c>
      <c r="G36" s="108">
        <f t="shared" si="13"/>
        <v>1</v>
      </c>
      <c r="H36" s="108">
        <f t="shared" si="14"/>
        <v>15</v>
      </c>
      <c r="I36" s="69">
        <f t="shared" si="15"/>
        <v>5.8823529411764705E-2</v>
      </c>
      <c r="J36" s="115">
        <f t="shared" si="9"/>
        <v>0.94117647058823528</v>
      </c>
      <c r="K36" s="69">
        <f t="shared" si="0"/>
        <v>1</v>
      </c>
      <c r="L36" s="68">
        <f t="shared" si="10"/>
        <v>15</v>
      </c>
      <c r="M36" s="68">
        <f t="shared" si="11"/>
        <v>16</v>
      </c>
      <c r="N36" s="9"/>
    </row>
    <row r="37" spans="1:14" x14ac:dyDescent="0.45">
      <c r="A37" s="9"/>
      <c r="B37" s="108" t="str">
        <f t="shared" si="12"/>
        <v>Luxury 17.5X</v>
      </c>
      <c r="C37" s="69">
        <v>0.3</v>
      </c>
      <c r="D37" s="69">
        <v>7.4999999999999997E-2</v>
      </c>
      <c r="E37" s="108">
        <v>17.5</v>
      </c>
      <c r="F37" s="108">
        <v>1</v>
      </c>
      <c r="G37" s="108">
        <f t="shared" si="13"/>
        <v>1</v>
      </c>
      <c r="H37" s="108">
        <f t="shared" si="14"/>
        <v>15.5</v>
      </c>
      <c r="I37" s="69">
        <f t="shared" si="15"/>
        <v>5.7142857142857141E-2</v>
      </c>
      <c r="J37" s="115">
        <f t="shared" si="9"/>
        <v>0.94285714285714284</v>
      </c>
      <c r="K37" s="69">
        <f t="shared" si="0"/>
        <v>1</v>
      </c>
      <c r="L37" s="68">
        <f t="shared" si="10"/>
        <v>15.5</v>
      </c>
      <c r="M37" s="68">
        <f t="shared" si="11"/>
        <v>16.5</v>
      </c>
      <c r="N37" s="9"/>
    </row>
    <row r="38" spans="1:14" x14ac:dyDescent="0.45">
      <c r="A38" s="9"/>
      <c r="B38" s="108" t="str">
        <f t="shared" si="12"/>
        <v>Luxury 18X</v>
      </c>
      <c r="C38" s="69">
        <v>0.3</v>
      </c>
      <c r="D38" s="69">
        <v>7.4999999999999997E-2</v>
      </c>
      <c r="E38" s="108">
        <v>18</v>
      </c>
      <c r="F38" s="108">
        <v>1</v>
      </c>
      <c r="G38" s="108">
        <f t="shared" si="13"/>
        <v>1</v>
      </c>
      <c r="H38" s="108">
        <f t="shared" si="14"/>
        <v>16</v>
      </c>
      <c r="I38" s="69">
        <f t="shared" si="15"/>
        <v>5.5555555555555552E-2</v>
      </c>
      <c r="J38" s="115">
        <f t="shared" si="9"/>
        <v>0.94444444444444442</v>
      </c>
      <c r="K38" s="69">
        <f t="shared" si="0"/>
        <v>1</v>
      </c>
      <c r="L38" s="68">
        <f t="shared" si="10"/>
        <v>16</v>
      </c>
      <c r="M38" s="68">
        <f t="shared" si="11"/>
        <v>17</v>
      </c>
      <c r="N38" s="9"/>
    </row>
    <row r="39" spans="1:14" x14ac:dyDescent="0.45">
      <c r="A39" s="9"/>
      <c r="B39" s="108" t="str">
        <f t="shared" si="12"/>
        <v>Luxury 18.5X</v>
      </c>
      <c r="C39" s="69">
        <v>0.3</v>
      </c>
      <c r="D39" s="69">
        <v>7.4999999999999997E-2</v>
      </c>
      <c r="E39" s="108">
        <v>18.5</v>
      </c>
      <c r="F39" s="108">
        <v>1</v>
      </c>
      <c r="G39" s="108">
        <f t="shared" si="13"/>
        <v>1</v>
      </c>
      <c r="H39" s="108">
        <f t="shared" si="14"/>
        <v>16.5</v>
      </c>
      <c r="I39" s="69">
        <f t="shared" si="15"/>
        <v>5.4054054054054057E-2</v>
      </c>
      <c r="J39" s="115">
        <f t="shared" si="9"/>
        <v>0.94594594594594594</v>
      </c>
      <c r="K39" s="69">
        <f t="shared" si="0"/>
        <v>1</v>
      </c>
      <c r="L39" s="68">
        <f t="shared" si="10"/>
        <v>16.5</v>
      </c>
      <c r="M39" s="68">
        <f t="shared" si="11"/>
        <v>17.5</v>
      </c>
      <c r="N39" s="9"/>
    </row>
    <row r="40" spans="1:14" x14ac:dyDescent="0.45">
      <c r="A40" s="9"/>
      <c r="B40" s="108" t="str">
        <f t="shared" si="12"/>
        <v>Luxury 19X</v>
      </c>
      <c r="C40" s="69">
        <v>0.3</v>
      </c>
      <c r="D40" s="69">
        <v>7.4999999999999997E-2</v>
      </c>
      <c r="E40" s="108">
        <v>19</v>
      </c>
      <c r="F40" s="108">
        <v>1</v>
      </c>
      <c r="G40" s="108">
        <f t="shared" si="13"/>
        <v>1</v>
      </c>
      <c r="H40" s="108">
        <f t="shared" si="14"/>
        <v>17</v>
      </c>
      <c r="I40" s="69">
        <f t="shared" si="15"/>
        <v>5.2631578947368418E-2</v>
      </c>
      <c r="J40" s="115">
        <f t="shared" si="9"/>
        <v>0.94736842105263164</v>
      </c>
      <c r="K40" s="69">
        <f t="shared" si="0"/>
        <v>1</v>
      </c>
      <c r="L40" s="68">
        <f t="shared" si="10"/>
        <v>17</v>
      </c>
      <c r="M40" s="68">
        <f t="shared" si="11"/>
        <v>18</v>
      </c>
      <c r="N40" s="9"/>
    </row>
    <row r="41" spans="1:14" x14ac:dyDescent="0.45">
      <c r="A41" s="9"/>
      <c r="B41" s="108" t="str">
        <f t="shared" si="12"/>
        <v>Luxury 19.5X</v>
      </c>
      <c r="C41" s="69">
        <v>0.3</v>
      </c>
      <c r="D41" s="69">
        <v>7.4999999999999997E-2</v>
      </c>
      <c r="E41" s="108">
        <v>19.5</v>
      </c>
      <c r="F41" s="108">
        <v>1</v>
      </c>
      <c r="G41" s="108">
        <f t="shared" si="13"/>
        <v>1</v>
      </c>
      <c r="H41" s="108">
        <f t="shared" si="14"/>
        <v>17.5</v>
      </c>
      <c r="I41" s="69">
        <f t="shared" si="15"/>
        <v>5.128205128205128E-2</v>
      </c>
      <c r="J41" s="115">
        <f t="shared" si="9"/>
        <v>0.94871794871794868</v>
      </c>
      <c r="K41" s="69">
        <f t="shared" si="0"/>
        <v>1</v>
      </c>
      <c r="L41" s="68">
        <f t="shared" si="10"/>
        <v>17.5</v>
      </c>
      <c r="M41" s="68">
        <f t="shared" si="11"/>
        <v>18.5</v>
      </c>
      <c r="N41" s="9"/>
    </row>
    <row r="42" spans="1:14" x14ac:dyDescent="0.45">
      <c r="A42" s="9"/>
      <c r="B42" s="108" t="str">
        <f t="shared" si="12"/>
        <v>Luxury 20X</v>
      </c>
      <c r="C42" s="69">
        <v>0.3</v>
      </c>
      <c r="D42" s="69">
        <v>7.4999999999999997E-2</v>
      </c>
      <c r="E42" s="108">
        <v>20</v>
      </c>
      <c r="F42" s="108">
        <v>1</v>
      </c>
      <c r="G42" s="108">
        <f t="shared" si="13"/>
        <v>1</v>
      </c>
      <c r="H42" s="108">
        <f t="shared" si="14"/>
        <v>18</v>
      </c>
      <c r="I42" s="69">
        <f t="shared" si="15"/>
        <v>0.05</v>
      </c>
      <c r="J42" s="115">
        <f t="shared" si="9"/>
        <v>0.95</v>
      </c>
      <c r="K42" s="69">
        <f t="shared" si="0"/>
        <v>1</v>
      </c>
      <c r="L42" s="68">
        <f t="shared" si="10"/>
        <v>18</v>
      </c>
      <c r="M42" s="68">
        <f t="shared" si="11"/>
        <v>19</v>
      </c>
      <c r="N42" s="9"/>
    </row>
    <row r="43" spans="1:14" x14ac:dyDescent="0.45">
      <c r="A43" s="9"/>
      <c r="B43" s="4"/>
      <c r="C43" s="4"/>
      <c r="D43" s="4"/>
      <c r="E43" s="4"/>
      <c r="F43" s="4"/>
      <c r="G43" s="4"/>
      <c r="H43" s="4"/>
      <c r="I43" s="109"/>
      <c r="J43" s="109"/>
      <c r="K43" s="109"/>
      <c r="L43" s="109"/>
      <c r="M43" s="109"/>
      <c r="N43" s="9"/>
    </row>
    <row r="44" spans="1:14" x14ac:dyDescent="0.45">
      <c r="I44" s="13"/>
      <c r="J44" s="13"/>
      <c r="K44" s="13"/>
      <c r="L44" s="13"/>
      <c r="M44" s="13"/>
    </row>
    <row r="45" spans="1:14" x14ac:dyDescent="0.45">
      <c r="I45" s="13"/>
      <c r="J45" s="13"/>
      <c r="K45" s="13"/>
      <c r="L45" s="13"/>
      <c r="M45" s="13"/>
    </row>
  </sheetData>
  <mergeCells count="2">
    <mergeCell ref="E2:E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2"/>
  <sheetViews>
    <sheetView zoomScaleNormal="100" workbookViewId="0">
      <selection activeCell="B2" sqref="B2:B8"/>
    </sheetView>
  </sheetViews>
  <sheetFormatPr defaultRowHeight="15" customHeight="1" x14ac:dyDescent="0.45"/>
  <cols>
    <col min="1" max="1" width="1.73046875" style="2" customWidth="1"/>
    <col min="2" max="2" width="40.9296875" style="2" customWidth="1"/>
    <col min="3" max="3" width="24.1328125" style="2" bestFit="1" customWidth="1"/>
    <col min="4" max="13" width="13.6640625" style="2" customWidth="1"/>
    <col min="14" max="14" width="1.6640625" style="2" customWidth="1"/>
    <col min="15" max="15" width="14.46484375" style="2" customWidth="1"/>
    <col min="16" max="16" width="1.53125" style="2" customWidth="1"/>
    <col min="17" max="16384" width="9.06640625" style="2"/>
  </cols>
  <sheetData>
    <row r="1" spans="1:1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"/>
    </row>
    <row r="2" spans="1:14" ht="15" customHeight="1" x14ac:dyDescent="0.45">
      <c r="A2" s="5"/>
      <c r="B2" s="127" t="s">
        <v>82</v>
      </c>
      <c r="C2" s="138" t="s">
        <v>28</v>
      </c>
      <c r="D2" s="131"/>
      <c r="E2" s="6"/>
      <c r="F2" s="161" t="s">
        <v>23</v>
      </c>
      <c r="G2" s="161"/>
      <c r="H2" s="161"/>
      <c r="I2" s="161"/>
      <c r="J2" s="7"/>
      <c r="K2" s="7"/>
      <c r="L2" s="7"/>
      <c r="M2" s="7"/>
      <c r="N2" s="5"/>
    </row>
    <row r="3" spans="1:14" ht="15" customHeight="1" x14ac:dyDescent="0.45">
      <c r="A3" s="5"/>
      <c r="B3" s="127"/>
      <c r="C3" s="132"/>
      <c r="D3" s="133"/>
      <c r="E3" s="6"/>
      <c r="F3" s="161"/>
      <c r="G3" s="161"/>
      <c r="H3" s="161"/>
      <c r="I3" s="161"/>
      <c r="J3" s="7"/>
      <c r="K3" s="7"/>
      <c r="L3" s="7"/>
      <c r="M3" s="7"/>
      <c r="N3" s="5"/>
    </row>
    <row r="4" spans="1:14" ht="15" customHeight="1" x14ac:dyDescent="0.45">
      <c r="A4" s="5"/>
      <c r="B4" s="127"/>
      <c r="C4" s="37" t="s">
        <v>2</v>
      </c>
      <c r="D4" s="38">
        <v>100000</v>
      </c>
      <c r="E4" s="6"/>
      <c r="F4" s="74" t="s">
        <v>24</v>
      </c>
      <c r="G4" s="60"/>
      <c r="H4" s="76"/>
      <c r="I4" s="86">
        <v>314.25</v>
      </c>
      <c r="J4" s="7"/>
      <c r="K4" s="7"/>
      <c r="L4" s="7"/>
      <c r="M4" s="7"/>
      <c r="N4" s="5"/>
    </row>
    <row r="5" spans="1:14" ht="15" customHeight="1" x14ac:dyDescent="0.45">
      <c r="A5" s="5"/>
      <c r="B5" s="127"/>
      <c r="C5" s="7"/>
      <c r="D5" s="7"/>
      <c r="E5" s="5"/>
      <c r="F5" s="74" t="s">
        <v>25</v>
      </c>
      <c r="G5" s="60"/>
      <c r="H5" s="76"/>
      <c r="I5" s="87">
        <v>42005</v>
      </c>
      <c r="J5" s="7"/>
      <c r="K5" s="7"/>
      <c r="L5" s="7"/>
      <c r="M5" s="7"/>
      <c r="N5" s="5"/>
    </row>
    <row r="6" spans="1:14" ht="15" customHeight="1" x14ac:dyDescent="0.45">
      <c r="A6" s="5"/>
      <c r="B6" s="127"/>
      <c r="C6" s="7"/>
      <c r="D6" s="7"/>
      <c r="E6" s="5"/>
      <c r="F6" s="74" t="s">
        <v>26</v>
      </c>
      <c r="G6" s="60"/>
      <c r="H6" s="76"/>
      <c r="I6" s="86">
        <v>94443.520000000004</v>
      </c>
      <c r="J6" s="7"/>
      <c r="K6" s="7"/>
      <c r="L6" s="7"/>
      <c r="M6" s="7"/>
      <c r="N6" s="5"/>
    </row>
    <row r="7" spans="1:14" ht="15" customHeight="1" x14ac:dyDescent="0.45">
      <c r="A7" s="5"/>
      <c r="B7" s="127"/>
      <c r="C7" s="7"/>
      <c r="D7" s="7"/>
      <c r="E7" s="5"/>
      <c r="F7" s="74" t="s">
        <v>27</v>
      </c>
      <c r="G7" s="60"/>
      <c r="H7" s="76"/>
      <c r="I7" s="87">
        <v>45658</v>
      </c>
      <c r="J7" s="7"/>
      <c r="K7" s="7"/>
      <c r="L7" s="7"/>
      <c r="M7" s="7"/>
      <c r="N7" s="5"/>
    </row>
    <row r="8" spans="1:14" ht="15" customHeight="1" x14ac:dyDescent="0.45">
      <c r="A8" s="61"/>
      <c r="B8" s="129"/>
      <c r="C8" s="7"/>
      <c r="D8" s="7"/>
      <c r="F8" s="21" t="s">
        <v>29</v>
      </c>
      <c r="G8" s="60"/>
      <c r="H8" s="76"/>
      <c r="I8" s="75">
        <f>(I6/I4)^(1/DATEDIF(I5,I7,"Y"))-1</f>
        <v>0.76925197017405411</v>
      </c>
      <c r="J8" s="7"/>
      <c r="K8" s="7"/>
      <c r="L8" s="7"/>
      <c r="M8" s="7"/>
      <c r="N8" s="5"/>
    </row>
    <row r="9" spans="1:14" ht="15" customHeight="1" x14ac:dyDescent="0.45">
      <c r="A9" s="1"/>
      <c r="B9" s="1"/>
      <c r="C9" s="77"/>
      <c r="D9" s="7"/>
      <c r="E9" s="6"/>
      <c r="F9" s="7"/>
      <c r="G9" s="7"/>
      <c r="H9" s="7"/>
      <c r="I9" s="7"/>
      <c r="J9" s="7"/>
      <c r="K9" s="7"/>
      <c r="L9" s="7"/>
      <c r="M9" s="7"/>
      <c r="N9" s="5"/>
    </row>
    <row r="10" spans="1:14" ht="30" customHeight="1" x14ac:dyDescent="0.45">
      <c r="A10" s="5"/>
      <c r="B10" s="88" t="s">
        <v>70</v>
      </c>
      <c r="C10" s="89"/>
      <c r="D10" s="139" t="s">
        <v>3</v>
      </c>
      <c r="E10" s="139" t="s">
        <v>4</v>
      </c>
      <c r="F10" s="139" t="s">
        <v>5</v>
      </c>
      <c r="G10" s="139" t="s">
        <v>6</v>
      </c>
      <c r="H10" s="139" t="s">
        <v>7</v>
      </c>
      <c r="I10" s="139" t="s">
        <v>8</v>
      </c>
      <c r="J10" s="139" t="s">
        <v>9</v>
      </c>
      <c r="K10" s="139" t="s">
        <v>10</v>
      </c>
      <c r="L10" s="139" t="s">
        <v>11</v>
      </c>
      <c r="M10" s="139" t="s">
        <v>12</v>
      </c>
      <c r="N10" s="8"/>
    </row>
    <row r="11" spans="1:14" ht="30" customHeight="1" x14ac:dyDescent="0.45">
      <c r="A11" s="5"/>
      <c r="B11" s="46" t="s">
        <v>30</v>
      </c>
      <c r="C11" s="46" t="s">
        <v>65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5"/>
    </row>
    <row r="12" spans="1:14" ht="15" customHeight="1" x14ac:dyDescent="0.45">
      <c r="A12" s="5"/>
      <c r="B12" s="162">
        <v>0.2</v>
      </c>
      <c r="C12" s="72" t="s">
        <v>0</v>
      </c>
      <c r="D12" s="62">
        <f>($D$4 * $B12) + $D$4</f>
        <v>120000</v>
      </c>
      <c r="E12" s="63">
        <f>(D12 * $B12) + D12</f>
        <v>144000</v>
      </c>
      <c r="F12" s="63">
        <f t="shared" ref="F12:M12" si="0">(E12 * $B12) + E12</f>
        <v>172800</v>
      </c>
      <c r="G12" s="63">
        <f t="shared" si="0"/>
        <v>207360</v>
      </c>
      <c r="H12" s="63">
        <f t="shared" si="0"/>
        <v>248832</v>
      </c>
      <c r="I12" s="63">
        <f t="shared" si="0"/>
        <v>298598.40000000002</v>
      </c>
      <c r="J12" s="63">
        <f t="shared" si="0"/>
        <v>358318.08000000002</v>
      </c>
      <c r="K12" s="63">
        <f t="shared" si="0"/>
        <v>429981.696</v>
      </c>
      <c r="L12" s="63">
        <f t="shared" si="0"/>
        <v>515978.03519999998</v>
      </c>
      <c r="M12" s="63">
        <f t="shared" si="0"/>
        <v>619173.64223999996</v>
      </c>
      <c r="N12" s="9"/>
    </row>
    <row r="13" spans="1:14" ht="15" customHeight="1" x14ac:dyDescent="0.45">
      <c r="A13" s="5"/>
      <c r="B13" s="162"/>
      <c r="C13" s="71" t="s">
        <v>1</v>
      </c>
      <c r="D13" s="64">
        <f>D12*21000000</f>
        <v>2520000000000</v>
      </c>
      <c r="E13" s="65">
        <f t="shared" ref="E13:M13" si="1">E12*21000000</f>
        <v>3024000000000</v>
      </c>
      <c r="F13" s="65">
        <f t="shared" si="1"/>
        <v>3628800000000</v>
      </c>
      <c r="G13" s="65">
        <f t="shared" si="1"/>
        <v>4354560000000</v>
      </c>
      <c r="H13" s="65">
        <f t="shared" si="1"/>
        <v>5225472000000</v>
      </c>
      <c r="I13" s="65">
        <f t="shared" si="1"/>
        <v>6270566400000.001</v>
      </c>
      <c r="J13" s="65">
        <f t="shared" si="1"/>
        <v>7524679680000</v>
      </c>
      <c r="K13" s="65">
        <f t="shared" si="1"/>
        <v>9029615616000</v>
      </c>
      <c r="L13" s="65">
        <f t="shared" si="1"/>
        <v>10835538739200</v>
      </c>
      <c r="M13" s="65">
        <f t="shared" si="1"/>
        <v>13002646487040</v>
      </c>
      <c r="N13" s="9"/>
    </row>
    <row r="14" spans="1:14" ht="15" customHeight="1" x14ac:dyDescent="0.45">
      <c r="A14" s="5"/>
      <c r="B14" s="162"/>
      <c r="C14" s="73" t="s">
        <v>14</v>
      </c>
      <c r="D14" s="66">
        <f>( ( D12 - $D$4 ) ) / D12</f>
        <v>0.16666666666666666</v>
      </c>
      <c r="E14" s="66">
        <f t="shared" ref="E14:M14" si="2">( ( E12 - $D$4 ) ) / E12</f>
        <v>0.30555555555555558</v>
      </c>
      <c r="F14" s="66">
        <f t="shared" si="2"/>
        <v>0.42129629629629628</v>
      </c>
      <c r="G14" s="66">
        <f t="shared" si="2"/>
        <v>0.51774691358024694</v>
      </c>
      <c r="H14" s="67">
        <f t="shared" si="2"/>
        <v>0.5981224279835391</v>
      </c>
      <c r="I14" s="66">
        <f t="shared" si="2"/>
        <v>0.66510202331961599</v>
      </c>
      <c r="J14" s="66">
        <f t="shared" si="2"/>
        <v>0.72091835276634664</v>
      </c>
      <c r="K14" s="66">
        <f t="shared" si="2"/>
        <v>0.76743196063862218</v>
      </c>
      <c r="L14" s="66">
        <f t="shared" si="2"/>
        <v>0.80619330053218508</v>
      </c>
      <c r="M14" s="66">
        <f t="shared" si="2"/>
        <v>0.83849441711015427</v>
      </c>
      <c r="N14" s="10"/>
    </row>
    <row r="15" spans="1:14" ht="15" customHeight="1" x14ac:dyDescent="0.45">
      <c r="A15" s="5"/>
      <c r="B15" s="162"/>
      <c r="C15" s="73" t="s">
        <v>13</v>
      </c>
      <c r="D15" s="66">
        <f>1-D14</f>
        <v>0.83333333333333337</v>
      </c>
      <c r="E15" s="66">
        <f t="shared" ref="E15:M15" si="3">1-E14</f>
        <v>0.69444444444444442</v>
      </c>
      <c r="F15" s="66">
        <f t="shared" si="3"/>
        <v>0.57870370370370372</v>
      </c>
      <c r="G15" s="66">
        <f t="shared" si="3"/>
        <v>0.48225308641975306</v>
      </c>
      <c r="H15" s="67">
        <f t="shared" si="3"/>
        <v>0.4018775720164609</v>
      </c>
      <c r="I15" s="66">
        <f t="shared" si="3"/>
        <v>0.33489797668038401</v>
      </c>
      <c r="J15" s="66">
        <f t="shared" si="3"/>
        <v>0.27908164723365336</v>
      </c>
      <c r="K15" s="66">
        <f t="shared" si="3"/>
        <v>0.23256803936137782</v>
      </c>
      <c r="L15" s="66">
        <f t="shared" si="3"/>
        <v>0.19380669946781492</v>
      </c>
      <c r="M15" s="66">
        <f t="shared" si="3"/>
        <v>0.16150558288984573</v>
      </c>
      <c r="N15" s="10"/>
    </row>
    <row r="16" spans="1:14" ht="15" customHeight="1" x14ac:dyDescent="0.45">
      <c r="A16" s="5"/>
      <c r="B16" s="162"/>
      <c r="C16" s="71" t="s">
        <v>15</v>
      </c>
      <c r="D16" s="68">
        <f>D14</f>
        <v>0.16666666666666666</v>
      </c>
      <c r="E16" s="69">
        <f>E14-D14</f>
        <v>0.13888888888888892</v>
      </c>
      <c r="F16" s="69">
        <f>F14-E14</f>
        <v>0.1157407407407407</v>
      </c>
      <c r="G16" s="69">
        <f t="shared" ref="G16:M16" si="4">G14-F14</f>
        <v>9.6450617283950657E-2</v>
      </c>
      <c r="H16" s="69">
        <f t="shared" si="4"/>
        <v>8.0375514403292159E-2</v>
      </c>
      <c r="I16" s="69">
        <f t="shared" si="4"/>
        <v>6.6979595336076891E-2</v>
      </c>
      <c r="J16" s="69">
        <f t="shared" si="4"/>
        <v>5.581632944673065E-2</v>
      </c>
      <c r="K16" s="69">
        <f t="shared" si="4"/>
        <v>4.6513607872275542E-2</v>
      </c>
      <c r="L16" s="69">
        <f t="shared" si="4"/>
        <v>3.8761339893562896E-2</v>
      </c>
      <c r="M16" s="69">
        <f t="shared" si="4"/>
        <v>3.2301116577969191E-2</v>
      </c>
      <c r="N16" s="9"/>
    </row>
    <row r="17" spans="1:14" ht="15" customHeight="1" x14ac:dyDescent="0.45">
      <c r="A17" s="5"/>
      <c r="B17" s="165"/>
      <c r="C17" s="71" t="s">
        <v>31</v>
      </c>
      <c r="D17" s="68"/>
      <c r="E17" s="69"/>
      <c r="F17" s="69"/>
      <c r="G17" s="69"/>
      <c r="H17" s="69">
        <f>SUM(D16:H16)/5</f>
        <v>0.11962448559670782</v>
      </c>
      <c r="I17" s="70"/>
      <c r="J17" s="70"/>
      <c r="K17" s="70"/>
      <c r="L17" s="70"/>
      <c r="M17" s="69">
        <f>SUM(D16:M16)/10</f>
        <v>8.3849441711015424E-2</v>
      </c>
      <c r="N17" s="9"/>
    </row>
    <row r="18" spans="1:14" ht="15" customHeight="1" x14ac:dyDescent="0.45">
      <c r="A18" s="5"/>
      <c r="B18" s="164">
        <v>0.25</v>
      </c>
      <c r="C18" s="71" t="s">
        <v>0</v>
      </c>
      <c r="D18" s="62">
        <f>($D$4 * $B18) + $D$4</f>
        <v>125000</v>
      </c>
      <c r="E18" s="63">
        <f>(D18 * $B18) + D18</f>
        <v>156250</v>
      </c>
      <c r="F18" s="63">
        <f t="shared" ref="F18:M18" si="5">(E18 * $B18) + E18</f>
        <v>195312.5</v>
      </c>
      <c r="G18" s="63">
        <f t="shared" si="5"/>
        <v>244140.625</v>
      </c>
      <c r="H18" s="63">
        <f t="shared" si="5"/>
        <v>305175.78125</v>
      </c>
      <c r="I18" s="63">
        <f t="shared" si="5"/>
        <v>381469.7265625</v>
      </c>
      <c r="J18" s="63">
        <f t="shared" si="5"/>
        <v>476837.158203125</v>
      </c>
      <c r="K18" s="63">
        <f t="shared" si="5"/>
        <v>596046.44775390625</v>
      </c>
      <c r="L18" s="63">
        <f t="shared" si="5"/>
        <v>745058.05969238281</v>
      </c>
      <c r="M18" s="63">
        <f t="shared" si="5"/>
        <v>931322.57461547852</v>
      </c>
      <c r="N18" s="5"/>
    </row>
    <row r="19" spans="1:14" ht="15" customHeight="1" x14ac:dyDescent="0.45">
      <c r="A19" s="5"/>
      <c r="B19" s="162"/>
      <c r="C19" s="71" t="s">
        <v>1</v>
      </c>
      <c r="D19" s="64">
        <f>D18*21000000</f>
        <v>2625000000000</v>
      </c>
      <c r="E19" s="65">
        <f t="shared" ref="E19:M19" si="6">E18*21000000</f>
        <v>3281250000000</v>
      </c>
      <c r="F19" s="65">
        <f t="shared" si="6"/>
        <v>4101562500000</v>
      </c>
      <c r="G19" s="65">
        <f t="shared" si="6"/>
        <v>5126953125000</v>
      </c>
      <c r="H19" s="65">
        <f t="shared" si="6"/>
        <v>6408691406250</v>
      </c>
      <c r="I19" s="65">
        <f t="shared" si="6"/>
        <v>8010864257812.5</v>
      </c>
      <c r="J19" s="65">
        <f t="shared" si="6"/>
        <v>10013580322265.625</v>
      </c>
      <c r="K19" s="65">
        <f t="shared" si="6"/>
        <v>12516975402832.031</v>
      </c>
      <c r="L19" s="65">
        <f t="shared" si="6"/>
        <v>15646219253540.039</v>
      </c>
      <c r="M19" s="65">
        <f t="shared" si="6"/>
        <v>19557774066925.047</v>
      </c>
      <c r="N19" s="5"/>
    </row>
    <row r="20" spans="1:14" ht="15" customHeight="1" x14ac:dyDescent="0.45">
      <c r="A20" s="5"/>
      <c r="B20" s="162"/>
      <c r="C20" s="73" t="s">
        <v>14</v>
      </c>
      <c r="D20" s="66">
        <f>( ( D18 - $D$4 ) ) / D18</f>
        <v>0.2</v>
      </c>
      <c r="E20" s="66">
        <f t="shared" ref="E20:M20" si="7">( ( E18 - $D$4 ) ) / E18</f>
        <v>0.36</v>
      </c>
      <c r="F20" s="66">
        <f t="shared" si="7"/>
        <v>0.48799999999999999</v>
      </c>
      <c r="G20" s="66">
        <f t="shared" si="7"/>
        <v>0.59040000000000004</v>
      </c>
      <c r="H20" s="67">
        <f t="shared" si="7"/>
        <v>0.67232000000000003</v>
      </c>
      <c r="I20" s="66">
        <f t="shared" si="7"/>
        <v>0.73785599999999996</v>
      </c>
      <c r="J20" s="66">
        <f t="shared" si="7"/>
        <v>0.79028480000000001</v>
      </c>
      <c r="K20" s="66">
        <f t="shared" si="7"/>
        <v>0.83222784000000005</v>
      </c>
      <c r="L20" s="66">
        <f t="shared" si="7"/>
        <v>0.86578227200000002</v>
      </c>
      <c r="M20" s="66">
        <f t="shared" si="7"/>
        <v>0.89262581760000004</v>
      </c>
      <c r="N20" s="5"/>
    </row>
    <row r="21" spans="1:14" ht="15" customHeight="1" x14ac:dyDescent="0.45">
      <c r="A21" s="5"/>
      <c r="B21" s="162"/>
      <c r="C21" s="73" t="s">
        <v>13</v>
      </c>
      <c r="D21" s="66">
        <f>1-D20</f>
        <v>0.8</v>
      </c>
      <c r="E21" s="66">
        <f t="shared" ref="E21:M21" si="8">1-E20</f>
        <v>0.64</v>
      </c>
      <c r="F21" s="66">
        <f t="shared" si="8"/>
        <v>0.51200000000000001</v>
      </c>
      <c r="G21" s="66">
        <f t="shared" si="8"/>
        <v>0.40959999999999996</v>
      </c>
      <c r="H21" s="67">
        <f t="shared" si="8"/>
        <v>0.32767999999999997</v>
      </c>
      <c r="I21" s="66">
        <f t="shared" si="8"/>
        <v>0.26214400000000004</v>
      </c>
      <c r="J21" s="66">
        <f t="shared" si="8"/>
        <v>0.20971519999999999</v>
      </c>
      <c r="K21" s="66">
        <f t="shared" si="8"/>
        <v>0.16777215999999995</v>
      </c>
      <c r="L21" s="66">
        <f t="shared" si="8"/>
        <v>0.13421772799999998</v>
      </c>
      <c r="M21" s="66">
        <f t="shared" si="8"/>
        <v>0.10737418239999996</v>
      </c>
      <c r="N21" s="5"/>
    </row>
    <row r="22" spans="1:14" ht="15" customHeight="1" x14ac:dyDescent="0.45">
      <c r="A22" s="5"/>
      <c r="B22" s="162"/>
      <c r="C22" s="71" t="s">
        <v>15</v>
      </c>
      <c r="D22" s="68">
        <f>D20</f>
        <v>0.2</v>
      </c>
      <c r="E22" s="69">
        <f>E20-D20</f>
        <v>0.15999999999999998</v>
      </c>
      <c r="F22" s="69">
        <f>F20-E20</f>
        <v>0.128</v>
      </c>
      <c r="G22" s="69">
        <f t="shared" ref="G22" si="9">G20-F20</f>
        <v>0.10240000000000005</v>
      </c>
      <c r="H22" s="69">
        <f t="shared" ref="H22" si="10">H20-G20</f>
        <v>8.1919999999999993E-2</v>
      </c>
      <c r="I22" s="69">
        <f t="shared" ref="I22" si="11">I20-H20</f>
        <v>6.5535999999999928E-2</v>
      </c>
      <c r="J22" s="69">
        <f t="shared" ref="J22" si="12">J20-I20</f>
        <v>5.2428800000000053E-2</v>
      </c>
      <c r="K22" s="69">
        <f t="shared" ref="K22" si="13">K20-J20</f>
        <v>4.1943040000000043E-2</v>
      </c>
      <c r="L22" s="69">
        <f t="shared" ref="L22" si="14">L20-K20</f>
        <v>3.3554431999999967E-2</v>
      </c>
      <c r="M22" s="69">
        <f t="shared" ref="M22" si="15">M20-L20</f>
        <v>2.6843545600000018E-2</v>
      </c>
      <c r="N22" s="5"/>
    </row>
    <row r="23" spans="1:14" ht="15" customHeight="1" x14ac:dyDescent="0.45">
      <c r="A23" s="5"/>
      <c r="B23" s="165"/>
      <c r="C23" s="71" t="s">
        <v>31</v>
      </c>
      <c r="D23" s="68"/>
      <c r="E23" s="69"/>
      <c r="F23" s="69"/>
      <c r="G23" s="69"/>
      <c r="H23" s="69">
        <f>SUM(D22:H22)/5</f>
        <v>0.134464</v>
      </c>
      <c r="I23" s="70"/>
      <c r="J23" s="70"/>
      <c r="K23" s="70"/>
      <c r="L23" s="70"/>
      <c r="M23" s="69">
        <f>SUM(D22:M22)/10</f>
        <v>8.9262581760000001E-2</v>
      </c>
      <c r="N23" s="5"/>
    </row>
    <row r="24" spans="1:14" ht="15" customHeight="1" x14ac:dyDescent="0.45">
      <c r="A24" s="5"/>
      <c r="B24" s="164">
        <v>0.3</v>
      </c>
      <c r="C24" s="71" t="s">
        <v>0</v>
      </c>
      <c r="D24" s="62">
        <f>($D$4 * $B24) + $D$4</f>
        <v>130000</v>
      </c>
      <c r="E24" s="63">
        <f>(D24 * $B24) + D24</f>
        <v>169000</v>
      </c>
      <c r="F24" s="63">
        <f t="shared" ref="F24:M24" si="16">(E24 * $B24) + E24</f>
        <v>219700</v>
      </c>
      <c r="G24" s="63">
        <f t="shared" si="16"/>
        <v>285610</v>
      </c>
      <c r="H24" s="63">
        <f t="shared" si="16"/>
        <v>371293</v>
      </c>
      <c r="I24" s="63">
        <f t="shared" si="16"/>
        <v>482680.9</v>
      </c>
      <c r="J24" s="63">
        <f t="shared" si="16"/>
        <v>627485.17000000004</v>
      </c>
      <c r="K24" s="63">
        <f t="shared" si="16"/>
        <v>815730.72100000002</v>
      </c>
      <c r="L24" s="63">
        <f t="shared" si="16"/>
        <v>1060449.9373000001</v>
      </c>
      <c r="M24" s="63">
        <f t="shared" si="16"/>
        <v>1378584.9184900001</v>
      </c>
      <c r="N24" s="5"/>
    </row>
    <row r="25" spans="1:14" ht="15" customHeight="1" x14ac:dyDescent="0.45">
      <c r="A25" s="5"/>
      <c r="B25" s="162"/>
      <c r="C25" s="71" t="s">
        <v>1</v>
      </c>
      <c r="D25" s="64">
        <f>D24*21000000</f>
        <v>2730000000000</v>
      </c>
      <c r="E25" s="65">
        <f t="shared" ref="E25:M25" si="17">E24*21000000</f>
        <v>3549000000000</v>
      </c>
      <c r="F25" s="65">
        <f t="shared" si="17"/>
        <v>4613700000000</v>
      </c>
      <c r="G25" s="65">
        <f t="shared" si="17"/>
        <v>5997810000000</v>
      </c>
      <c r="H25" s="65">
        <f t="shared" si="17"/>
        <v>7797153000000</v>
      </c>
      <c r="I25" s="65">
        <f t="shared" si="17"/>
        <v>10136298900000</v>
      </c>
      <c r="J25" s="65">
        <f t="shared" si="17"/>
        <v>13177188570000</v>
      </c>
      <c r="K25" s="65">
        <f t="shared" si="17"/>
        <v>17130345141000</v>
      </c>
      <c r="L25" s="65">
        <f t="shared" si="17"/>
        <v>22269448683300.004</v>
      </c>
      <c r="M25" s="65">
        <f t="shared" si="17"/>
        <v>28950283288290</v>
      </c>
      <c r="N25" s="5"/>
    </row>
    <row r="26" spans="1:14" ht="15" customHeight="1" x14ac:dyDescent="0.45">
      <c r="A26" s="5"/>
      <c r="B26" s="162"/>
      <c r="C26" s="73" t="s">
        <v>14</v>
      </c>
      <c r="D26" s="66">
        <f>( ( D24 - $D$4 ) ) / D24</f>
        <v>0.23076923076923078</v>
      </c>
      <c r="E26" s="66">
        <f t="shared" ref="E26:M26" si="18">( ( E24 - $D$4 ) ) / E24</f>
        <v>0.40828402366863903</v>
      </c>
      <c r="F26" s="66">
        <f t="shared" si="18"/>
        <v>0.54483386436049153</v>
      </c>
      <c r="G26" s="66">
        <f t="shared" si="18"/>
        <v>0.64987220335422424</v>
      </c>
      <c r="H26" s="67">
        <f t="shared" si="18"/>
        <v>0.73067092565709557</v>
      </c>
      <c r="I26" s="66">
        <f t="shared" si="18"/>
        <v>0.79282378896699668</v>
      </c>
      <c r="J26" s="66">
        <f t="shared" si="18"/>
        <v>0.84063368382076664</v>
      </c>
      <c r="K26" s="66">
        <f t="shared" si="18"/>
        <v>0.87741052601597436</v>
      </c>
      <c r="L26" s="66">
        <f t="shared" si="18"/>
        <v>0.90570040462767254</v>
      </c>
      <c r="M26" s="66">
        <f t="shared" si="18"/>
        <v>0.92746184971359424</v>
      </c>
      <c r="N26" s="5"/>
    </row>
    <row r="27" spans="1:14" ht="15" customHeight="1" x14ac:dyDescent="0.45">
      <c r="A27" s="5"/>
      <c r="B27" s="162"/>
      <c r="C27" s="73" t="s">
        <v>13</v>
      </c>
      <c r="D27" s="66">
        <f>1-D26</f>
        <v>0.76923076923076916</v>
      </c>
      <c r="E27" s="66">
        <f t="shared" ref="E27:M27" si="19">1-E26</f>
        <v>0.59171597633136097</v>
      </c>
      <c r="F27" s="66">
        <f t="shared" si="19"/>
        <v>0.45516613563950847</v>
      </c>
      <c r="G27" s="66">
        <f t="shared" si="19"/>
        <v>0.35012779664577576</v>
      </c>
      <c r="H27" s="67">
        <f t="shared" si="19"/>
        <v>0.26932907434290443</v>
      </c>
      <c r="I27" s="66">
        <f t="shared" si="19"/>
        <v>0.20717621103300332</v>
      </c>
      <c r="J27" s="66">
        <f t="shared" si="19"/>
        <v>0.15936631617923336</v>
      </c>
      <c r="K27" s="66">
        <f t="shared" si="19"/>
        <v>0.12258947398402564</v>
      </c>
      <c r="L27" s="66">
        <f t="shared" si="19"/>
        <v>9.429959537232746E-2</v>
      </c>
      <c r="M27" s="66">
        <f t="shared" si="19"/>
        <v>7.2538150286405756E-2</v>
      </c>
      <c r="N27" s="5"/>
    </row>
    <row r="28" spans="1:14" ht="15" customHeight="1" x14ac:dyDescent="0.45">
      <c r="A28" s="5"/>
      <c r="B28" s="162"/>
      <c r="C28" s="71" t="s">
        <v>15</v>
      </c>
      <c r="D28" s="68">
        <f>D26</f>
        <v>0.23076923076923078</v>
      </c>
      <c r="E28" s="69">
        <f>E26-D26</f>
        <v>0.17751479289940825</v>
      </c>
      <c r="F28" s="69">
        <f>F26-E26</f>
        <v>0.1365498406918525</v>
      </c>
      <c r="G28" s="69">
        <f t="shared" ref="G28" si="20">G26-F26</f>
        <v>0.10503833899373272</v>
      </c>
      <c r="H28" s="69">
        <f t="shared" ref="H28" si="21">H26-G26</f>
        <v>8.0798722302871329E-2</v>
      </c>
      <c r="I28" s="69">
        <f t="shared" ref="I28" si="22">I26-H26</f>
        <v>6.2152863309901107E-2</v>
      </c>
      <c r="J28" s="69">
        <f t="shared" ref="J28" si="23">J26-I26</f>
        <v>4.7809894853769963E-2</v>
      </c>
      <c r="K28" s="69">
        <f t="shared" ref="K28" si="24">K26-J26</f>
        <v>3.6776842195207715E-2</v>
      </c>
      <c r="L28" s="69">
        <f t="shared" ref="L28" si="25">L26-K26</f>
        <v>2.8289878611698183E-2</v>
      </c>
      <c r="M28" s="69">
        <f t="shared" ref="M28" si="26">M26-L26</f>
        <v>2.1761445085921705E-2</v>
      </c>
      <c r="N28" s="5"/>
    </row>
    <row r="29" spans="1:14" ht="15" customHeight="1" x14ac:dyDescent="0.45">
      <c r="A29" s="5"/>
      <c r="B29" s="165"/>
      <c r="C29" s="71" t="s">
        <v>31</v>
      </c>
      <c r="D29" s="68"/>
      <c r="E29" s="69"/>
      <c r="F29" s="69"/>
      <c r="G29" s="69"/>
      <c r="H29" s="69">
        <f>SUM(D28:H28)/5</f>
        <v>0.14613418513141913</v>
      </c>
      <c r="I29" s="70"/>
      <c r="J29" s="70"/>
      <c r="K29" s="70"/>
      <c r="L29" s="70"/>
      <c r="M29" s="69">
        <f>SUM(D28:M28)/10</f>
        <v>9.2746184971359419E-2</v>
      </c>
      <c r="N29" s="5"/>
    </row>
    <row r="30" spans="1:14" ht="15" customHeight="1" x14ac:dyDescent="0.45">
      <c r="A30" s="5"/>
      <c r="B30" s="164">
        <v>0.35</v>
      </c>
      <c r="C30" s="71" t="s">
        <v>0</v>
      </c>
      <c r="D30" s="62">
        <f>($D$4 * $B30) + $D$4</f>
        <v>135000</v>
      </c>
      <c r="E30" s="63">
        <f>(D30 * $B30) + D30</f>
        <v>182250</v>
      </c>
      <c r="F30" s="63">
        <f t="shared" ref="F30:M30" si="27">(E30 * $B30) + E30</f>
        <v>246037.5</v>
      </c>
      <c r="G30" s="63">
        <f t="shared" si="27"/>
        <v>332150.625</v>
      </c>
      <c r="H30" s="63">
        <f t="shared" si="27"/>
        <v>448403.34375</v>
      </c>
      <c r="I30" s="63">
        <f t="shared" si="27"/>
        <v>605344.51406249998</v>
      </c>
      <c r="J30" s="63">
        <f t="shared" si="27"/>
        <v>817215.09398437501</v>
      </c>
      <c r="K30" s="63">
        <f t="shared" si="27"/>
        <v>1103240.3768789063</v>
      </c>
      <c r="L30" s="63">
        <f t="shared" si="27"/>
        <v>1489374.5087865235</v>
      </c>
      <c r="M30" s="63">
        <f t="shared" si="27"/>
        <v>2010655.5868618067</v>
      </c>
      <c r="N30" s="5"/>
    </row>
    <row r="31" spans="1:14" ht="15" customHeight="1" x14ac:dyDescent="0.45">
      <c r="A31" s="5"/>
      <c r="B31" s="162"/>
      <c r="C31" s="71" t="s">
        <v>1</v>
      </c>
      <c r="D31" s="64">
        <f>D30*21000000</f>
        <v>2835000000000</v>
      </c>
      <c r="E31" s="65">
        <f t="shared" ref="E31:M31" si="28">E30*21000000</f>
        <v>3827250000000</v>
      </c>
      <c r="F31" s="65">
        <f t="shared" si="28"/>
        <v>5166787500000</v>
      </c>
      <c r="G31" s="65">
        <f t="shared" si="28"/>
        <v>6975163125000</v>
      </c>
      <c r="H31" s="65">
        <f t="shared" si="28"/>
        <v>9416470218750</v>
      </c>
      <c r="I31" s="65">
        <f t="shared" si="28"/>
        <v>12712234795312.5</v>
      </c>
      <c r="J31" s="65">
        <f t="shared" si="28"/>
        <v>17161516973671.875</v>
      </c>
      <c r="K31" s="65">
        <f t="shared" si="28"/>
        <v>23168047914457.031</v>
      </c>
      <c r="L31" s="65">
        <f t="shared" si="28"/>
        <v>31276864684516.992</v>
      </c>
      <c r="M31" s="65">
        <f t="shared" si="28"/>
        <v>42223767324097.938</v>
      </c>
      <c r="N31" s="5"/>
    </row>
    <row r="32" spans="1:14" ht="15" customHeight="1" x14ac:dyDescent="0.45">
      <c r="A32" s="5"/>
      <c r="B32" s="162"/>
      <c r="C32" s="73" t="s">
        <v>14</v>
      </c>
      <c r="D32" s="66">
        <f>( ( D30 - $D$4 ) ) / D30</f>
        <v>0.25925925925925924</v>
      </c>
      <c r="E32" s="66">
        <f t="shared" ref="E32:M32" si="29">( ( E30 - $D$4 ) ) / E30</f>
        <v>0.45130315500685869</v>
      </c>
      <c r="F32" s="66">
        <f t="shared" si="29"/>
        <v>0.59355789259767311</v>
      </c>
      <c r="G32" s="66">
        <f t="shared" ref="G32" si="30">( ( G30 - $D$4 ) ) / G30</f>
        <v>0.69893177229457271</v>
      </c>
      <c r="H32" s="67">
        <f t="shared" si="29"/>
        <v>0.77698649799597974</v>
      </c>
      <c r="I32" s="66">
        <f t="shared" si="29"/>
        <v>0.83480481333035539</v>
      </c>
      <c r="J32" s="66">
        <f t="shared" si="29"/>
        <v>0.87763319505952253</v>
      </c>
      <c r="K32" s="66">
        <f t="shared" si="29"/>
        <v>0.90935792226631296</v>
      </c>
      <c r="L32" s="66">
        <f t="shared" si="29"/>
        <v>0.93285772019726887</v>
      </c>
      <c r="M32" s="66">
        <f t="shared" si="29"/>
        <v>0.95026497792390285</v>
      </c>
      <c r="N32" s="5"/>
    </row>
    <row r="33" spans="1:14" ht="15" customHeight="1" x14ac:dyDescent="0.45">
      <c r="A33" s="5"/>
      <c r="B33" s="162"/>
      <c r="C33" s="73" t="s">
        <v>13</v>
      </c>
      <c r="D33" s="66">
        <f>1-D32</f>
        <v>0.7407407407407407</v>
      </c>
      <c r="E33" s="66">
        <f t="shared" ref="E33:M33" si="31">1-E32</f>
        <v>0.54869684499314131</v>
      </c>
      <c r="F33" s="66">
        <f t="shared" si="31"/>
        <v>0.40644210740232689</v>
      </c>
      <c r="G33" s="66">
        <f t="shared" ref="G33" si="32">1-G32</f>
        <v>0.30106822770542729</v>
      </c>
      <c r="H33" s="67">
        <f t="shared" si="31"/>
        <v>0.22301350200402026</v>
      </c>
      <c r="I33" s="66">
        <f t="shared" si="31"/>
        <v>0.16519518666964461</v>
      </c>
      <c r="J33" s="66">
        <f t="shared" si="31"/>
        <v>0.12236680494047747</v>
      </c>
      <c r="K33" s="66">
        <f t="shared" si="31"/>
        <v>9.0642077733687043E-2</v>
      </c>
      <c r="L33" s="66">
        <f t="shared" si="31"/>
        <v>6.7142279802731131E-2</v>
      </c>
      <c r="M33" s="66">
        <f t="shared" si="31"/>
        <v>4.9735022076097146E-2</v>
      </c>
      <c r="N33" s="5"/>
    </row>
    <row r="34" spans="1:14" ht="15" customHeight="1" x14ac:dyDescent="0.45">
      <c r="A34" s="5"/>
      <c r="B34" s="162"/>
      <c r="C34" s="71" t="s">
        <v>15</v>
      </c>
      <c r="D34" s="68">
        <f>D32</f>
        <v>0.25925925925925924</v>
      </c>
      <c r="E34" s="69">
        <f>E32-D32</f>
        <v>0.19204389574759945</v>
      </c>
      <c r="F34" s="69">
        <f>F32-E32</f>
        <v>0.14225473759081442</v>
      </c>
      <c r="G34" s="69">
        <f t="shared" ref="G34" si="33">G32-F32</f>
        <v>0.1053738796968996</v>
      </c>
      <c r="H34" s="69">
        <f t="shared" ref="H34" si="34">H32-G32</f>
        <v>7.8054725701407035E-2</v>
      </c>
      <c r="I34" s="69">
        <f t="shared" ref="I34" si="35">I32-H32</f>
        <v>5.7818315334375647E-2</v>
      </c>
      <c r="J34" s="69">
        <f t="shared" ref="J34" si="36">J32-I32</f>
        <v>4.2828381729167142E-2</v>
      </c>
      <c r="K34" s="69">
        <f t="shared" ref="K34" si="37">K32-J32</f>
        <v>3.1724727206790426E-2</v>
      </c>
      <c r="L34" s="69">
        <f t="shared" ref="L34" si="38">L32-K32</f>
        <v>2.3499797930955912E-2</v>
      </c>
      <c r="M34" s="69">
        <f t="shared" ref="M34" si="39">M32-L32</f>
        <v>1.7407257726633985E-2</v>
      </c>
      <c r="N34" s="5"/>
    </row>
    <row r="35" spans="1:14" ht="15" customHeight="1" x14ac:dyDescent="0.45">
      <c r="A35" s="5"/>
      <c r="B35" s="165"/>
      <c r="C35" s="71" t="s">
        <v>31</v>
      </c>
      <c r="D35" s="68"/>
      <c r="E35" s="69"/>
      <c r="F35" s="69"/>
      <c r="G35" s="69"/>
      <c r="H35" s="69">
        <f>SUM(D34:H34)/5</f>
        <v>0.15539729959919596</v>
      </c>
      <c r="I35" s="70"/>
      <c r="J35" s="70"/>
      <c r="K35" s="70"/>
      <c r="L35" s="70"/>
      <c r="M35" s="69">
        <f>SUM(D34:M34)/10</f>
        <v>9.502649779239028E-2</v>
      </c>
      <c r="N35" s="5"/>
    </row>
    <row r="36" spans="1:14" ht="15" customHeight="1" x14ac:dyDescent="0.45">
      <c r="A36" s="5"/>
      <c r="B36" s="162">
        <v>0.4</v>
      </c>
      <c r="C36" s="71" t="s">
        <v>0</v>
      </c>
      <c r="D36" s="62">
        <f>($D$4 * $B36) + $D$4</f>
        <v>140000</v>
      </c>
      <c r="E36" s="63">
        <f>(D36 * $B36) + D36</f>
        <v>196000</v>
      </c>
      <c r="F36" s="63">
        <f t="shared" ref="F36:M36" si="40">(E36 * $B36) + E36</f>
        <v>274400</v>
      </c>
      <c r="G36" s="63">
        <f t="shared" si="40"/>
        <v>384160</v>
      </c>
      <c r="H36" s="63">
        <f t="shared" si="40"/>
        <v>537824</v>
      </c>
      <c r="I36" s="63">
        <f t="shared" si="40"/>
        <v>752953.6</v>
      </c>
      <c r="J36" s="63">
        <f t="shared" si="40"/>
        <v>1054135.04</v>
      </c>
      <c r="K36" s="63">
        <f t="shared" si="40"/>
        <v>1475789.0560000001</v>
      </c>
      <c r="L36" s="63">
        <f t="shared" si="40"/>
        <v>2066104.6784000001</v>
      </c>
      <c r="M36" s="63">
        <f t="shared" si="40"/>
        <v>2892546.5497600003</v>
      </c>
      <c r="N36" s="5"/>
    </row>
    <row r="37" spans="1:14" ht="15" customHeight="1" x14ac:dyDescent="0.45">
      <c r="A37" s="5"/>
      <c r="B37" s="162"/>
      <c r="C37" s="71" t="s">
        <v>1</v>
      </c>
      <c r="D37" s="64">
        <f>D36*21000000</f>
        <v>2940000000000</v>
      </c>
      <c r="E37" s="65">
        <f t="shared" ref="E37:M37" si="41">E36*21000000</f>
        <v>4116000000000</v>
      </c>
      <c r="F37" s="65">
        <f t="shared" si="41"/>
        <v>5762400000000</v>
      </c>
      <c r="G37" s="65">
        <f t="shared" si="41"/>
        <v>8067360000000</v>
      </c>
      <c r="H37" s="65">
        <f t="shared" si="41"/>
        <v>11294304000000</v>
      </c>
      <c r="I37" s="65">
        <f t="shared" si="41"/>
        <v>15812025600000</v>
      </c>
      <c r="J37" s="65">
        <f t="shared" si="41"/>
        <v>22136835840000</v>
      </c>
      <c r="K37" s="65">
        <f t="shared" si="41"/>
        <v>30991570176000.004</v>
      </c>
      <c r="L37" s="65">
        <f t="shared" si="41"/>
        <v>43388198246400</v>
      </c>
      <c r="M37" s="65">
        <f t="shared" si="41"/>
        <v>60743477544960.008</v>
      </c>
      <c r="N37" s="5"/>
    </row>
    <row r="38" spans="1:14" ht="15" customHeight="1" x14ac:dyDescent="0.45">
      <c r="A38" s="5"/>
      <c r="B38" s="162"/>
      <c r="C38" s="73" t="s">
        <v>14</v>
      </c>
      <c r="D38" s="66">
        <f>( ( D36 - $D$4 ) ) / D36</f>
        <v>0.2857142857142857</v>
      </c>
      <c r="E38" s="66">
        <f t="shared" ref="E38:M38" si="42">( ( E36 - $D$4 ) ) / E36</f>
        <v>0.48979591836734693</v>
      </c>
      <c r="F38" s="66">
        <f t="shared" ref="F38" si="43">( ( F36 - $D$4 ) ) / F36</f>
        <v>0.63556851311953355</v>
      </c>
      <c r="G38" s="66">
        <f t="shared" si="42"/>
        <v>0.73969179508538108</v>
      </c>
      <c r="H38" s="67">
        <f t="shared" si="42"/>
        <v>0.81406556791812934</v>
      </c>
      <c r="I38" s="66">
        <f t="shared" si="42"/>
        <v>0.86718969137009239</v>
      </c>
      <c r="J38" s="66">
        <f t="shared" si="42"/>
        <v>0.90513549383578029</v>
      </c>
      <c r="K38" s="66">
        <f t="shared" si="42"/>
        <v>0.93223963845412883</v>
      </c>
      <c r="L38" s="66">
        <f t="shared" si="42"/>
        <v>0.95159974175294915</v>
      </c>
      <c r="M38" s="66">
        <f t="shared" si="42"/>
        <v>0.96542838696639222</v>
      </c>
      <c r="N38" s="5"/>
    </row>
    <row r="39" spans="1:14" ht="15" customHeight="1" x14ac:dyDescent="0.45">
      <c r="A39" s="5"/>
      <c r="B39" s="162"/>
      <c r="C39" s="73" t="s">
        <v>13</v>
      </c>
      <c r="D39" s="66">
        <f>1-D38</f>
        <v>0.7142857142857143</v>
      </c>
      <c r="E39" s="66">
        <f t="shared" ref="E39:M39" si="44">1-E38</f>
        <v>0.51020408163265307</v>
      </c>
      <c r="F39" s="66">
        <f t="shared" ref="F39" si="45">1-F38</f>
        <v>0.36443148688046645</v>
      </c>
      <c r="G39" s="66">
        <f t="shared" si="44"/>
        <v>0.26030820491461892</v>
      </c>
      <c r="H39" s="67">
        <f t="shared" si="44"/>
        <v>0.18593443208187066</v>
      </c>
      <c r="I39" s="66">
        <f t="shared" si="44"/>
        <v>0.13281030862990761</v>
      </c>
      <c r="J39" s="66">
        <f t="shared" si="44"/>
        <v>9.4864506164219708E-2</v>
      </c>
      <c r="K39" s="66">
        <f t="shared" si="44"/>
        <v>6.7760361545871173E-2</v>
      </c>
      <c r="L39" s="66">
        <f t="shared" si="44"/>
        <v>4.8400258247050854E-2</v>
      </c>
      <c r="M39" s="66">
        <f t="shared" si="44"/>
        <v>3.4571613033607784E-2</v>
      </c>
      <c r="N39" s="5"/>
    </row>
    <row r="40" spans="1:14" ht="15" customHeight="1" x14ac:dyDescent="0.45">
      <c r="A40" s="5"/>
      <c r="B40" s="162"/>
      <c r="C40" s="71" t="s">
        <v>15</v>
      </c>
      <c r="D40" s="68">
        <f>D38</f>
        <v>0.2857142857142857</v>
      </c>
      <c r="E40" s="69">
        <f>E38-D38</f>
        <v>0.20408163265306123</v>
      </c>
      <c r="F40" s="69">
        <f>F38-E38</f>
        <v>0.14577259475218662</v>
      </c>
      <c r="G40" s="69">
        <f t="shared" ref="G40" si="46">G38-F38</f>
        <v>0.10412328196584753</v>
      </c>
      <c r="H40" s="69">
        <f t="shared" ref="H40" si="47">H38-G38</f>
        <v>7.4373772832748264E-2</v>
      </c>
      <c r="I40" s="69">
        <f t="shared" ref="I40" si="48">I38-H38</f>
        <v>5.3124123451963046E-2</v>
      </c>
      <c r="J40" s="69">
        <f t="shared" ref="J40" si="49">J38-I38</f>
        <v>3.7945802465687906E-2</v>
      </c>
      <c r="K40" s="69">
        <f t="shared" ref="K40" si="50">K38-J38</f>
        <v>2.7104144618348536E-2</v>
      </c>
      <c r="L40" s="69">
        <f t="shared" ref="L40" si="51">L38-K38</f>
        <v>1.9360103298820319E-2</v>
      </c>
      <c r="M40" s="69">
        <f t="shared" ref="M40" si="52">M38-L38</f>
        <v>1.3828645213443069E-2</v>
      </c>
      <c r="N40" s="5"/>
    </row>
    <row r="41" spans="1:14" ht="15" customHeight="1" x14ac:dyDescent="0.45">
      <c r="A41" s="5"/>
      <c r="B41" s="163"/>
      <c r="C41" s="71" t="s">
        <v>31</v>
      </c>
      <c r="D41" s="68"/>
      <c r="E41" s="69"/>
      <c r="F41" s="69"/>
      <c r="G41" s="69"/>
      <c r="H41" s="69">
        <f>SUM(D40:H40)/5</f>
        <v>0.16281311358362588</v>
      </c>
      <c r="I41" s="70"/>
      <c r="J41" s="70"/>
      <c r="K41" s="70"/>
      <c r="L41" s="70"/>
      <c r="M41" s="69">
        <f>SUM(D40:M40)/10</f>
        <v>9.6542838696639224E-2</v>
      </c>
      <c r="N41" s="5"/>
    </row>
    <row r="42" spans="1:14" ht="15" customHeight="1" x14ac:dyDescent="0.4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"/>
    </row>
  </sheetData>
  <mergeCells count="18">
    <mergeCell ref="B2:B8"/>
    <mergeCell ref="B36:B41"/>
    <mergeCell ref="B18:B23"/>
    <mergeCell ref="B24:B29"/>
    <mergeCell ref="B30:B35"/>
    <mergeCell ref="B12:B17"/>
    <mergeCell ref="J10:J11"/>
    <mergeCell ref="K10:K11"/>
    <mergeCell ref="L10:L11"/>
    <mergeCell ref="M10:M11"/>
    <mergeCell ref="C2:D3"/>
    <mergeCell ref="F2:I3"/>
    <mergeCell ref="H10:H11"/>
    <mergeCell ref="I10:I11"/>
    <mergeCell ref="D10:D11"/>
    <mergeCell ref="E10:E11"/>
    <mergeCell ref="F10:F11"/>
    <mergeCell ref="G10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 Estimate Calculator</vt:lpstr>
      <vt:lpstr>Bitcoin Mortgage Services</vt:lpstr>
      <vt:lpstr>10 Year Burndown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2025-10-29T22:53:40Z</dcterms:modified>
</cp:coreProperties>
</file>