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0eb409204932c1c/Lightning Bank Case Study/"/>
    </mc:Choice>
  </mc:AlternateContent>
  <xr:revisionPtr revIDLastSave="7256" documentId="13_ncr:1_{AE93A452-22DF-478B-8AAE-1A3A6016AB56}" xr6:coauthVersionLast="47" xr6:coauthVersionMax="47" xr10:uidLastSave="{5225C833-8979-467C-BFEA-31CCDA0AB820}"/>
  <bookViews>
    <workbookView xWindow="-98" yWindow="-98" windowWidth="28996" windowHeight="15675" activeTab="1" xr2:uid="{10396A79-A4B2-467C-A467-ECE59C587EB2}"/>
  </bookViews>
  <sheets>
    <sheet name="Yield Estimate Calculator" sheetId="17" r:id="rId1"/>
    <sheet name="10 Year Burndown Summary"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6" i="17" l="1"/>
  <c r="N59" i="17"/>
  <c r="M59" i="17"/>
  <c r="L59" i="17"/>
  <c r="K59" i="17"/>
  <c r="J59" i="17"/>
  <c r="I59" i="17"/>
  <c r="H59" i="17"/>
  <c r="G59" i="17"/>
  <c r="F59" i="17"/>
  <c r="E59" i="17"/>
  <c r="F104" i="17"/>
  <c r="G104" i="17"/>
  <c r="H104" i="17"/>
  <c r="I104" i="17"/>
  <c r="J104" i="17"/>
  <c r="K104" i="17"/>
  <c r="L104" i="17"/>
  <c r="M104" i="17"/>
  <c r="N104" i="17"/>
  <c r="E104" i="17"/>
  <c r="E92" i="17"/>
  <c r="N5" i="17"/>
  <c r="N4" i="17"/>
  <c r="E10" i="17"/>
  <c r="D24" i="17"/>
  <c r="G31" i="17" s="1"/>
  <c r="D40" i="17"/>
  <c r="D86" i="17"/>
  <c r="D85" i="17"/>
  <c r="D41" i="17"/>
  <c r="D25" i="17"/>
  <c r="N21" i="17"/>
  <c r="M21" i="17"/>
  <c r="L21" i="17"/>
  <c r="K21" i="17"/>
  <c r="J21" i="17"/>
  <c r="I21" i="17"/>
  <c r="H21" i="17"/>
  <c r="G21" i="17"/>
  <c r="F21" i="17"/>
  <c r="E21" i="17"/>
  <c r="E22" i="17" s="1"/>
  <c r="E15" i="17"/>
  <c r="F15" i="17" s="1"/>
  <c r="K11" i="17"/>
  <c r="K10" i="17"/>
  <c r="K9" i="17"/>
  <c r="K8" i="17"/>
  <c r="K7" i="17"/>
  <c r="K6" i="17"/>
  <c r="K5" i="17"/>
  <c r="K4" i="17"/>
  <c r="I8" i="13"/>
  <c r="D36" i="13"/>
  <c r="E36" i="13" s="1"/>
  <c r="D30" i="13"/>
  <c r="D32" i="13" s="1"/>
  <c r="D24" i="13"/>
  <c r="E24" i="13" s="1"/>
  <c r="F24" i="13" s="1"/>
  <c r="G24" i="13" s="1"/>
  <c r="H24" i="13" s="1"/>
  <c r="I24" i="13" s="1"/>
  <c r="J24" i="13" s="1"/>
  <c r="K24" i="13" s="1"/>
  <c r="L24" i="13" s="1"/>
  <c r="M24" i="13" s="1"/>
  <c r="M26" i="13" s="1"/>
  <c r="D18" i="13"/>
  <c r="D20" i="13" s="1"/>
  <c r="D12" i="13"/>
  <c r="D14" i="13" s="1"/>
  <c r="E30" i="13"/>
  <c r="F30" i="13" s="1"/>
  <c r="G30" i="13" s="1"/>
  <c r="H30" i="13" s="1"/>
  <c r="I30" i="13" s="1"/>
  <c r="J30" i="13" s="1"/>
  <c r="K30" i="13" s="1"/>
  <c r="L30" i="13" s="1"/>
  <c r="M30" i="13" s="1"/>
  <c r="M32" i="13" s="1"/>
  <c r="J32" i="13" l="1"/>
  <c r="I31" i="17"/>
  <c r="M31" i="17"/>
  <c r="J31" i="17"/>
  <c r="E55" i="17"/>
  <c r="I100" i="17"/>
  <c r="N31" i="17"/>
  <c r="F31" i="17"/>
  <c r="F26" i="17" s="1"/>
  <c r="L31" i="17"/>
  <c r="H31" i="17"/>
  <c r="E31" i="17"/>
  <c r="E26" i="17" s="1"/>
  <c r="K31" i="17"/>
  <c r="E16" i="17"/>
  <c r="H55" i="17"/>
  <c r="H57" i="17" s="1"/>
  <c r="L55" i="17"/>
  <c r="L57" i="17" s="1"/>
  <c r="G55" i="17"/>
  <c r="G57" i="17" s="1"/>
  <c r="F55" i="17"/>
  <c r="F57" i="17" s="1"/>
  <c r="F61" i="17" s="1"/>
  <c r="J100" i="17"/>
  <c r="N100" i="17"/>
  <c r="N144" i="17" s="1"/>
  <c r="G100" i="17"/>
  <c r="G102" i="17" s="1"/>
  <c r="E101" i="17"/>
  <c r="E146" i="17" s="1"/>
  <c r="H100" i="17"/>
  <c r="H147" i="17" s="1"/>
  <c r="M100" i="17"/>
  <c r="M102" i="17" s="1"/>
  <c r="L100" i="17"/>
  <c r="F16" i="17"/>
  <c r="N55" i="17"/>
  <c r="N57" i="17" s="1"/>
  <c r="F100" i="17"/>
  <c r="G15" i="17"/>
  <c r="G26" i="17" s="1"/>
  <c r="K100" i="17"/>
  <c r="K55" i="17"/>
  <c r="K57" i="17" s="1"/>
  <c r="F22" i="17"/>
  <c r="J55" i="17"/>
  <c r="J57" i="17" s="1"/>
  <c r="I147" i="17"/>
  <c r="F17" i="17"/>
  <c r="E17" i="17"/>
  <c r="E44" i="17" s="1"/>
  <c r="E57" i="17"/>
  <c r="E61" i="17" s="1"/>
  <c r="I55" i="17"/>
  <c r="I57" i="17" s="1"/>
  <c r="M55" i="17"/>
  <c r="M57" i="17" s="1"/>
  <c r="E100" i="17"/>
  <c r="K32" i="13"/>
  <c r="I26" i="13"/>
  <c r="E18" i="13"/>
  <c r="F18" i="13" s="1"/>
  <c r="G18" i="13" s="1"/>
  <c r="J26" i="13"/>
  <c r="E26" i="13"/>
  <c r="I32" i="13"/>
  <c r="I33" i="13" s="1"/>
  <c r="F26" i="13"/>
  <c r="H32" i="13"/>
  <c r="H33" i="13" s="1"/>
  <c r="F36" i="13"/>
  <c r="E38" i="13"/>
  <c r="D38" i="13"/>
  <c r="G26" i="13"/>
  <c r="K26" i="13"/>
  <c r="E32" i="13"/>
  <c r="L32" i="13"/>
  <c r="G32" i="13"/>
  <c r="G33" i="13" s="1"/>
  <c r="D26" i="13"/>
  <c r="H26" i="13"/>
  <c r="L26" i="13"/>
  <c r="F32" i="13"/>
  <c r="D13" i="13"/>
  <c r="E12" i="13"/>
  <c r="E20" i="13" l="1"/>
  <c r="J147" i="17"/>
  <c r="J150" i="17"/>
  <c r="J153" i="17"/>
  <c r="I144" i="17"/>
  <c r="I150" i="17"/>
  <c r="I153" i="17"/>
  <c r="F44" i="17"/>
  <c r="J144" i="17"/>
  <c r="E149" i="17"/>
  <c r="I102" i="17"/>
  <c r="G147" i="17"/>
  <c r="E155" i="17"/>
  <c r="G106" i="17"/>
  <c r="E103" i="17"/>
  <c r="E113" i="17" s="1"/>
  <c r="E111" i="17" s="1"/>
  <c r="E152" i="17"/>
  <c r="N147" i="17"/>
  <c r="M150" i="17"/>
  <c r="H144" i="17"/>
  <c r="E109" i="17"/>
  <c r="J102" i="17"/>
  <c r="M144" i="17"/>
  <c r="N150" i="17"/>
  <c r="N153" i="17"/>
  <c r="G144" i="17"/>
  <c r="M147" i="17"/>
  <c r="G153" i="17"/>
  <c r="G150" i="17"/>
  <c r="H153" i="17"/>
  <c r="H102" i="17"/>
  <c r="N102" i="17"/>
  <c r="M153" i="17"/>
  <c r="H150" i="17"/>
  <c r="E153" i="17"/>
  <c r="E147" i="17"/>
  <c r="E150" i="17"/>
  <c r="E144" i="17"/>
  <c r="E102" i="17"/>
  <c r="E106" i="17" s="1"/>
  <c r="E89" i="17"/>
  <c r="E19" i="17"/>
  <c r="E42" i="17" s="1"/>
  <c r="E69" i="17" s="1"/>
  <c r="E18" i="17"/>
  <c r="F101" i="17"/>
  <c r="F56" i="17"/>
  <c r="G22" i="17"/>
  <c r="G16" i="17"/>
  <c r="H15" i="17"/>
  <c r="H26" i="17" s="1"/>
  <c r="G17" i="17"/>
  <c r="G44" i="17" s="1"/>
  <c r="E64" i="17"/>
  <c r="E58" i="17"/>
  <c r="E68" i="17" s="1"/>
  <c r="E66" i="17" s="1"/>
  <c r="F153" i="17"/>
  <c r="F150" i="17"/>
  <c r="F147" i="17"/>
  <c r="F144" i="17"/>
  <c r="F102" i="17"/>
  <c r="F106" i="17" s="1"/>
  <c r="G61" i="17"/>
  <c r="E63" i="17"/>
  <c r="F63" i="17" s="1"/>
  <c r="F18" i="17"/>
  <c r="F19" i="17"/>
  <c r="F89" i="17"/>
  <c r="K150" i="17"/>
  <c r="K144" i="17"/>
  <c r="K153" i="17"/>
  <c r="K102" i="17"/>
  <c r="K147" i="17"/>
  <c r="L150" i="17"/>
  <c r="L147" i="17"/>
  <c r="L153" i="17"/>
  <c r="L102" i="17"/>
  <c r="L144" i="17"/>
  <c r="F20" i="13"/>
  <c r="H18" i="13"/>
  <c r="G20" i="13"/>
  <c r="G36" i="13"/>
  <c r="F38" i="13"/>
  <c r="F39" i="13" s="1"/>
  <c r="F12" i="13"/>
  <c r="E14" i="13"/>
  <c r="F28" i="17" l="1"/>
  <c r="F30" i="17" s="1"/>
  <c r="F38" i="17" s="1"/>
  <c r="F42" i="17"/>
  <c r="F69" i="17" s="1"/>
  <c r="E28" i="17"/>
  <c r="E34" i="17" s="1"/>
  <c r="G63" i="17"/>
  <c r="F71" i="17"/>
  <c r="F73" i="17" s="1"/>
  <c r="F83" i="17" s="1"/>
  <c r="F46" i="17"/>
  <c r="F54" i="17" s="1"/>
  <c r="E87" i="17"/>
  <c r="I145" i="17"/>
  <c r="N145" i="17"/>
  <c r="F116" i="17"/>
  <c r="F118" i="17" s="1"/>
  <c r="F128" i="17" s="1"/>
  <c r="F91" i="17"/>
  <c r="G18" i="17"/>
  <c r="G89" i="17"/>
  <c r="G19" i="17"/>
  <c r="G56" i="17"/>
  <c r="H22" i="17"/>
  <c r="G101" i="17"/>
  <c r="E71" i="17"/>
  <c r="E73" i="17" s="1"/>
  <c r="E83" i="17" s="1"/>
  <c r="E81" i="17" s="1"/>
  <c r="E46" i="17"/>
  <c r="E54" i="17" s="1"/>
  <c r="E52" i="17" s="1"/>
  <c r="E50" i="17"/>
  <c r="I151" i="17"/>
  <c r="N151" i="17"/>
  <c r="F87" i="17"/>
  <c r="I15" i="17"/>
  <c r="I26" i="17" s="1"/>
  <c r="H17" i="17"/>
  <c r="H44" i="17" s="1"/>
  <c r="H16" i="17"/>
  <c r="H106" i="17"/>
  <c r="H61" i="17"/>
  <c r="F64" i="17"/>
  <c r="F58" i="17"/>
  <c r="F68" i="17" s="1"/>
  <c r="F66" i="17" s="1"/>
  <c r="E95" i="17"/>
  <c r="E91" i="17"/>
  <c r="E116" i="17"/>
  <c r="E118" i="17" s="1"/>
  <c r="E128" i="17" s="1"/>
  <c r="E126" i="17" s="1"/>
  <c r="N148" i="17"/>
  <c r="I148" i="17"/>
  <c r="F149" i="17"/>
  <c r="F146" i="17"/>
  <c r="F109" i="17"/>
  <c r="F152" i="17"/>
  <c r="F103" i="17"/>
  <c r="F113" i="17" s="1"/>
  <c r="F111" i="17" s="1"/>
  <c r="F155" i="17"/>
  <c r="E108" i="17"/>
  <c r="F108" i="17" s="1"/>
  <c r="G108" i="17" s="1"/>
  <c r="N154" i="17"/>
  <c r="I154" i="17"/>
  <c r="I18" i="13"/>
  <c r="H20" i="13"/>
  <c r="H36" i="13"/>
  <c r="G38" i="13"/>
  <c r="G39" i="13" s="1"/>
  <c r="G12" i="13"/>
  <c r="F14" i="13"/>
  <c r="H63" i="17" l="1"/>
  <c r="G28" i="17"/>
  <c r="G42" i="17"/>
  <c r="G69" i="17" s="1"/>
  <c r="E30" i="17"/>
  <c r="E38" i="17" s="1"/>
  <c r="E36" i="17" s="1"/>
  <c r="E47" i="17"/>
  <c r="E74" i="17" s="1"/>
  <c r="F126" i="17"/>
  <c r="F81" i="17"/>
  <c r="E79" i="17"/>
  <c r="G64" i="17"/>
  <c r="G58" i="17"/>
  <c r="G68" i="17" s="1"/>
  <c r="G66" i="17" s="1"/>
  <c r="F50" i="17"/>
  <c r="F79" i="17" s="1"/>
  <c r="I60" i="17"/>
  <c r="I17" i="17"/>
  <c r="I44" i="17" s="1"/>
  <c r="J15" i="17"/>
  <c r="J26" i="17" s="1"/>
  <c r="I16" i="17"/>
  <c r="I106" i="17"/>
  <c r="I107" i="17" s="1"/>
  <c r="I61" i="17"/>
  <c r="F29" i="17"/>
  <c r="F32" i="17" s="1"/>
  <c r="G152" i="17"/>
  <c r="G146" i="17"/>
  <c r="G155" i="17"/>
  <c r="G103" i="17"/>
  <c r="G113" i="17" s="1"/>
  <c r="G111" i="17" s="1"/>
  <c r="G149" i="17"/>
  <c r="G109" i="17"/>
  <c r="G46" i="17"/>
  <c r="G54" i="17" s="1"/>
  <c r="G52" i="17" s="1"/>
  <c r="G71" i="17"/>
  <c r="G73" i="17" s="1"/>
  <c r="G83" i="17" s="1"/>
  <c r="G81" i="17" s="1"/>
  <c r="G30" i="17"/>
  <c r="G38" i="17" s="1"/>
  <c r="G36" i="17" s="1"/>
  <c r="E29" i="17"/>
  <c r="E143" i="17"/>
  <c r="E167" i="17" s="1"/>
  <c r="E137" i="17"/>
  <c r="E161" i="17" s="1"/>
  <c r="E134" i="17"/>
  <c r="E158" i="17" s="1"/>
  <c r="E99" i="17"/>
  <c r="E97" i="17" s="1"/>
  <c r="E140" i="17"/>
  <c r="E164" i="17" s="1"/>
  <c r="F45" i="17"/>
  <c r="F48" i="17" s="1"/>
  <c r="F72" i="17"/>
  <c r="F76" i="17" s="1"/>
  <c r="F47" i="17"/>
  <c r="F74" i="17" s="1"/>
  <c r="H56" i="17"/>
  <c r="H101" i="17"/>
  <c r="I22" i="17"/>
  <c r="G87" i="17"/>
  <c r="F143" i="17"/>
  <c r="F167" i="17" s="1"/>
  <c r="F134" i="17"/>
  <c r="F158" i="17" s="1"/>
  <c r="F140" i="17"/>
  <c r="F164" i="17" s="1"/>
  <c r="F137" i="17"/>
  <c r="F161" i="17" s="1"/>
  <c r="F99" i="17"/>
  <c r="E45" i="17"/>
  <c r="E48" i="17" s="1"/>
  <c r="E49" i="17" s="1"/>
  <c r="H108" i="17"/>
  <c r="F34" i="17"/>
  <c r="E124" i="17"/>
  <c r="H89" i="17"/>
  <c r="H19" i="17"/>
  <c r="H18" i="17"/>
  <c r="F114" i="17"/>
  <c r="F117" i="17" s="1"/>
  <c r="F121" i="17" s="1"/>
  <c r="F90" i="17"/>
  <c r="F92" i="17"/>
  <c r="F119" i="17" s="1"/>
  <c r="G116" i="17"/>
  <c r="G118" i="17" s="1"/>
  <c r="G128" i="17" s="1"/>
  <c r="G126" i="17" s="1"/>
  <c r="G91" i="17"/>
  <c r="F95" i="17"/>
  <c r="F124" i="17" s="1"/>
  <c r="E119" i="17"/>
  <c r="E114" i="17"/>
  <c r="E90" i="17"/>
  <c r="F52" i="17"/>
  <c r="J18" i="13"/>
  <c r="I20" i="13"/>
  <c r="I36" i="13"/>
  <c r="H38" i="13"/>
  <c r="H39" i="13" s="1"/>
  <c r="H12" i="13"/>
  <c r="G14" i="13"/>
  <c r="D31" i="13"/>
  <c r="E37" i="13"/>
  <c r="D37" i="13"/>
  <c r="E25" i="13"/>
  <c r="D25" i="13"/>
  <c r="E19" i="13"/>
  <c r="D19" i="13"/>
  <c r="D16" i="13"/>
  <c r="I63" i="17" l="1"/>
  <c r="H28" i="17"/>
  <c r="H42" i="17"/>
  <c r="H69" i="17" s="1"/>
  <c r="F36" i="17"/>
  <c r="E32" i="17"/>
  <c r="E33" i="17" s="1"/>
  <c r="F33" i="17" s="1"/>
  <c r="F49" i="17"/>
  <c r="I108" i="17"/>
  <c r="G95" i="17"/>
  <c r="G124" i="17" s="1"/>
  <c r="I62" i="17"/>
  <c r="G50" i="17"/>
  <c r="H50" i="17" s="1"/>
  <c r="G140" i="17"/>
  <c r="G164" i="17" s="1"/>
  <c r="G134" i="17"/>
  <c r="G158" i="17" s="1"/>
  <c r="G143" i="17"/>
  <c r="G167" i="17" s="1"/>
  <c r="G137" i="17"/>
  <c r="G161" i="17" s="1"/>
  <c r="G99" i="17"/>
  <c r="G97" i="17" s="1"/>
  <c r="H71" i="17"/>
  <c r="H73" i="17" s="1"/>
  <c r="H83" i="17" s="1"/>
  <c r="H81" i="17" s="1"/>
  <c r="H46" i="17"/>
  <c r="H54" i="17" s="1"/>
  <c r="H52" i="17" s="1"/>
  <c r="G47" i="17"/>
  <c r="G74" i="17" s="1"/>
  <c r="G45" i="17"/>
  <c r="G48" i="17" s="1"/>
  <c r="G72" i="17"/>
  <c r="G76" i="17" s="1"/>
  <c r="I105" i="17"/>
  <c r="H30" i="17"/>
  <c r="H38" i="17" s="1"/>
  <c r="H36" i="17" s="1"/>
  <c r="H116" i="17"/>
  <c r="H118" i="17" s="1"/>
  <c r="H128" i="17" s="1"/>
  <c r="H126" i="17" s="1"/>
  <c r="H91" i="17"/>
  <c r="G92" i="17"/>
  <c r="G119" i="17" s="1"/>
  <c r="G90" i="17"/>
  <c r="G114" i="17"/>
  <c r="G117" i="17" s="1"/>
  <c r="G121" i="17" s="1"/>
  <c r="H152" i="17"/>
  <c r="H149" i="17"/>
  <c r="H146" i="17"/>
  <c r="H109" i="17"/>
  <c r="H155" i="17"/>
  <c r="H103" i="17"/>
  <c r="H113" i="17" s="1"/>
  <c r="H111" i="17" s="1"/>
  <c r="E141" i="17"/>
  <c r="E135" i="17"/>
  <c r="E132" i="17"/>
  <c r="E93" i="17"/>
  <c r="E94" i="17" s="1"/>
  <c r="E138" i="17"/>
  <c r="E72" i="17"/>
  <c r="E76" i="17" s="1"/>
  <c r="G29" i="17"/>
  <c r="G32" i="17" s="1"/>
  <c r="H58" i="17"/>
  <c r="H68" i="17" s="1"/>
  <c r="H66" i="17" s="1"/>
  <c r="H64" i="17"/>
  <c r="J16" i="17"/>
  <c r="J17" i="17"/>
  <c r="J44" i="17" s="1"/>
  <c r="K15" i="17"/>
  <c r="K26" i="17" s="1"/>
  <c r="J106" i="17"/>
  <c r="J61" i="17"/>
  <c r="E117" i="17"/>
  <c r="E121" i="17" s="1"/>
  <c r="F135" i="17"/>
  <c r="F159" i="17" s="1"/>
  <c r="F93" i="17"/>
  <c r="F141" i="17"/>
  <c r="F165" i="17" s="1"/>
  <c r="F132" i="17"/>
  <c r="F156" i="17" s="1"/>
  <c r="F138" i="17"/>
  <c r="F162" i="17" s="1"/>
  <c r="H87" i="17"/>
  <c r="F97" i="17"/>
  <c r="I101" i="17"/>
  <c r="I56" i="17"/>
  <c r="J22" i="17"/>
  <c r="G34" i="17"/>
  <c r="I89" i="17"/>
  <c r="I19" i="17"/>
  <c r="I18" i="17"/>
  <c r="K18" i="13"/>
  <c r="J20" i="13"/>
  <c r="J36" i="13"/>
  <c r="I38" i="13"/>
  <c r="I39" i="13" s="1"/>
  <c r="I12" i="13"/>
  <c r="H14" i="13"/>
  <c r="D15" i="13"/>
  <c r="E39" i="13"/>
  <c r="E40" i="13"/>
  <c r="F37" i="13"/>
  <c r="D40" i="13"/>
  <c r="D39" i="13"/>
  <c r="E31" i="13"/>
  <c r="D33" i="13"/>
  <c r="D34" i="13"/>
  <c r="D28" i="13"/>
  <c r="D27" i="13"/>
  <c r="E27" i="13"/>
  <c r="E28" i="13"/>
  <c r="F25" i="13"/>
  <c r="D22" i="13"/>
  <c r="D21" i="13"/>
  <c r="F19" i="13"/>
  <c r="E21" i="13"/>
  <c r="E22" i="13"/>
  <c r="E13" i="13"/>
  <c r="I152" i="17" l="1"/>
  <c r="I155" i="17"/>
  <c r="I28" i="17"/>
  <c r="I30" i="17" s="1"/>
  <c r="I38" i="17" s="1"/>
  <c r="I36" i="17" s="1"/>
  <c r="I42" i="17"/>
  <c r="I69" i="17" s="1"/>
  <c r="J108" i="17"/>
  <c r="H95" i="17"/>
  <c r="H124" i="17" s="1"/>
  <c r="G33" i="17"/>
  <c r="G49" i="17"/>
  <c r="G79" i="17"/>
  <c r="F94" i="17"/>
  <c r="I71" i="17"/>
  <c r="I73" i="17" s="1"/>
  <c r="I83" i="17" s="1"/>
  <c r="I81" i="17" s="1"/>
  <c r="I82" i="17" s="1"/>
  <c r="I46" i="17"/>
  <c r="I54" i="17" s="1"/>
  <c r="I52" i="17" s="1"/>
  <c r="I53" i="17" s="1"/>
  <c r="I50" i="17"/>
  <c r="I64" i="17"/>
  <c r="I58" i="17"/>
  <c r="I68" i="17" s="1"/>
  <c r="I66" i="17" s="1"/>
  <c r="K16" i="17"/>
  <c r="K17" i="17"/>
  <c r="K44" i="17" s="1"/>
  <c r="L15" i="17"/>
  <c r="L26" i="17" s="1"/>
  <c r="K61" i="17"/>
  <c r="K106" i="17"/>
  <c r="J89" i="17"/>
  <c r="J18" i="17"/>
  <c r="J19" i="17"/>
  <c r="E159" i="17"/>
  <c r="H140" i="17"/>
  <c r="H164" i="17" s="1"/>
  <c r="H137" i="17"/>
  <c r="H161" i="17" s="1"/>
  <c r="H99" i="17"/>
  <c r="H97" i="17" s="1"/>
  <c r="H134" i="17"/>
  <c r="H158" i="17" s="1"/>
  <c r="H143" i="17"/>
  <c r="H167" i="17" s="1"/>
  <c r="I91" i="17"/>
  <c r="I116" i="17"/>
  <c r="I118" i="17" s="1"/>
  <c r="I128" i="17" s="1"/>
  <c r="I126" i="17" s="1"/>
  <c r="I149" i="17"/>
  <c r="I146" i="17"/>
  <c r="I103" i="17"/>
  <c r="I113" i="17" s="1"/>
  <c r="I111" i="17" s="1"/>
  <c r="I109" i="17"/>
  <c r="I110" i="17" s="1"/>
  <c r="H29" i="17"/>
  <c r="H32" i="17" s="1"/>
  <c r="E162" i="17"/>
  <c r="E165" i="17"/>
  <c r="J63" i="17"/>
  <c r="K22" i="17"/>
  <c r="J101" i="17"/>
  <c r="J56" i="17"/>
  <c r="H45" i="17"/>
  <c r="H48" i="17" s="1"/>
  <c r="H47" i="17"/>
  <c r="H74" i="17" s="1"/>
  <c r="G138" i="17"/>
  <c r="G162" i="17" s="1"/>
  <c r="G132" i="17"/>
  <c r="G156" i="17" s="1"/>
  <c r="G141" i="17"/>
  <c r="G165" i="17" s="1"/>
  <c r="G93" i="17"/>
  <c r="G135" i="17"/>
  <c r="G159" i="17" s="1"/>
  <c r="I87" i="17"/>
  <c r="I88" i="17" s="1"/>
  <c r="I7" i="17" s="1"/>
  <c r="I27" i="17"/>
  <c r="I20" i="17"/>
  <c r="H114" i="17"/>
  <c r="H90" i="17"/>
  <c r="H92" i="17"/>
  <c r="H119" i="17" s="1"/>
  <c r="E123" i="17"/>
  <c r="F123" i="17" s="1"/>
  <c r="G123" i="17" s="1"/>
  <c r="E78" i="17"/>
  <c r="F78" i="17" s="1"/>
  <c r="G78" i="17" s="1"/>
  <c r="E156" i="17"/>
  <c r="H34" i="17"/>
  <c r="H79" i="17"/>
  <c r="L18" i="13"/>
  <c r="K20" i="13"/>
  <c r="K36" i="13"/>
  <c r="J38" i="13"/>
  <c r="J12" i="13"/>
  <c r="I14" i="13"/>
  <c r="F40" i="13"/>
  <c r="G37" i="13"/>
  <c r="E33" i="13"/>
  <c r="E34" i="13"/>
  <c r="F31" i="13"/>
  <c r="F28" i="13"/>
  <c r="F27" i="13"/>
  <c r="G25" i="13"/>
  <c r="F21" i="13"/>
  <c r="F22" i="13"/>
  <c r="G19" i="13"/>
  <c r="E15" i="13"/>
  <c r="E16" i="13"/>
  <c r="F13" i="13"/>
  <c r="I140" i="17" l="1"/>
  <c r="I143" i="17"/>
  <c r="J152" i="17"/>
  <c r="J155" i="17"/>
  <c r="J28" i="17"/>
  <c r="J42" i="17"/>
  <c r="J69" i="17" s="1"/>
  <c r="K108" i="17"/>
  <c r="I95" i="17"/>
  <c r="I96" i="17" s="1"/>
  <c r="H33" i="17"/>
  <c r="K63" i="17"/>
  <c r="H49" i="17"/>
  <c r="G94" i="17"/>
  <c r="H117" i="17"/>
  <c r="H121" i="17" s="1"/>
  <c r="H123" i="17" s="1"/>
  <c r="I72" i="17"/>
  <c r="I76" i="17" s="1"/>
  <c r="I45" i="17"/>
  <c r="I48" i="17" s="1"/>
  <c r="I47" i="17"/>
  <c r="I74" i="17" s="1"/>
  <c r="I75" i="17" s="1"/>
  <c r="H72" i="17"/>
  <c r="H76" i="17" s="1"/>
  <c r="K56" i="17"/>
  <c r="K101" i="17"/>
  <c r="L22" i="17"/>
  <c r="K18" i="17"/>
  <c r="K89" i="17"/>
  <c r="K19" i="17"/>
  <c r="I65" i="17"/>
  <c r="I114" i="17"/>
  <c r="I117" i="17" s="1"/>
  <c r="I121" i="17" s="1"/>
  <c r="I90" i="17"/>
  <c r="I92" i="17"/>
  <c r="I119" i="17" s="1"/>
  <c r="I120" i="17" s="1"/>
  <c r="I43" i="17"/>
  <c r="I5" i="17" s="1"/>
  <c r="J58" i="17"/>
  <c r="J68" i="17" s="1"/>
  <c r="J66" i="17" s="1"/>
  <c r="J64" i="17"/>
  <c r="I37" i="17"/>
  <c r="I167" i="17"/>
  <c r="M11" i="17" s="1"/>
  <c r="N11" i="17" s="1"/>
  <c r="I137" i="17"/>
  <c r="I161" i="17" s="1"/>
  <c r="M7" i="17" s="1"/>
  <c r="N7" i="17" s="1"/>
  <c r="I134" i="17"/>
  <c r="I158" i="17" s="1"/>
  <c r="M5" i="17" s="1"/>
  <c r="I99" i="17"/>
  <c r="I97" i="17" s="1"/>
  <c r="I98" i="17" s="1"/>
  <c r="I164" i="17"/>
  <c r="M9" i="17" s="1"/>
  <c r="N9" i="17" s="1"/>
  <c r="J30" i="17"/>
  <c r="J38" i="17" s="1"/>
  <c r="J36" i="17" s="1"/>
  <c r="J91" i="17"/>
  <c r="J116" i="17"/>
  <c r="J118" i="17" s="1"/>
  <c r="J128" i="17" s="1"/>
  <c r="J126" i="17" s="1"/>
  <c r="M15" i="17"/>
  <c r="M26" i="17" s="1"/>
  <c r="L17" i="17"/>
  <c r="L44" i="17" s="1"/>
  <c r="L16" i="17"/>
  <c r="L61" i="17"/>
  <c r="L106" i="17"/>
  <c r="I79" i="17"/>
  <c r="I80" i="17" s="1"/>
  <c r="I51" i="17"/>
  <c r="I34" i="17"/>
  <c r="I127" i="17"/>
  <c r="J50" i="17"/>
  <c r="J46" i="17"/>
  <c r="J54" i="17" s="1"/>
  <c r="J52" i="17" s="1"/>
  <c r="J71" i="17"/>
  <c r="J73" i="17" s="1"/>
  <c r="J83" i="17" s="1"/>
  <c r="J81" i="17" s="1"/>
  <c r="I112" i="17"/>
  <c r="H141" i="17"/>
  <c r="H165" i="17" s="1"/>
  <c r="H138" i="17"/>
  <c r="H162" i="17" s="1"/>
  <c r="H135" i="17"/>
  <c r="H159" i="17" s="1"/>
  <c r="H132" i="17"/>
  <c r="H93" i="17"/>
  <c r="I29" i="17"/>
  <c r="I32" i="17" s="1"/>
  <c r="J109" i="17"/>
  <c r="J149" i="17"/>
  <c r="J146" i="17"/>
  <c r="J103" i="17"/>
  <c r="J113" i="17" s="1"/>
  <c r="J111" i="17" s="1"/>
  <c r="J87" i="17"/>
  <c r="I67" i="17"/>
  <c r="M18" i="13"/>
  <c r="M20" i="13" s="1"/>
  <c r="L20" i="13"/>
  <c r="L36" i="13"/>
  <c r="K38" i="13"/>
  <c r="K12" i="13"/>
  <c r="J14" i="13"/>
  <c r="G40" i="13"/>
  <c r="H37" i="13"/>
  <c r="F34" i="13"/>
  <c r="F33" i="13"/>
  <c r="G31" i="13"/>
  <c r="G28" i="13"/>
  <c r="G27" i="13"/>
  <c r="H25" i="13"/>
  <c r="G22" i="13"/>
  <c r="G21" i="13"/>
  <c r="H19" i="13"/>
  <c r="G13" i="13"/>
  <c r="F16" i="13"/>
  <c r="F15" i="13"/>
  <c r="J143" i="17" l="1"/>
  <c r="J140" i="17"/>
  <c r="I141" i="17"/>
  <c r="I138" i="17"/>
  <c r="I49" i="17"/>
  <c r="L63" i="17"/>
  <c r="J95" i="17"/>
  <c r="K28" i="17"/>
  <c r="K30" i="17" s="1"/>
  <c r="K38" i="17" s="1"/>
  <c r="K36" i="17" s="1"/>
  <c r="K42" i="17"/>
  <c r="K69" i="17" s="1"/>
  <c r="L108" i="17"/>
  <c r="I124" i="17"/>
  <c r="I125" i="17" s="1"/>
  <c r="I33" i="17"/>
  <c r="H94" i="17"/>
  <c r="J34" i="17"/>
  <c r="J79" i="17"/>
  <c r="I70" i="17"/>
  <c r="I6" i="17" s="1"/>
  <c r="J92" i="17"/>
  <c r="J119" i="17" s="1"/>
  <c r="J90" i="17"/>
  <c r="J114" i="17"/>
  <c r="J117" i="17" s="1"/>
  <c r="J121" i="17" s="1"/>
  <c r="L89" i="17"/>
  <c r="L19" i="17"/>
  <c r="L18" i="17"/>
  <c r="M17" i="17"/>
  <c r="M44" i="17" s="1"/>
  <c r="N15" i="17"/>
  <c r="N26" i="17" s="1"/>
  <c r="M16" i="17"/>
  <c r="M106" i="17"/>
  <c r="M61" i="17"/>
  <c r="I123" i="17"/>
  <c r="K95" i="17"/>
  <c r="K91" i="17"/>
  <c r="K116" i="17"/>
  <c r="K118" i="17" s="1"/>
  <c r="K128" i="17" s="1"/>
  <c r="K126" i="17" s="1"/>
  <c r="L56" i="17"/>
  <c r="M22" i="17"/>
  <c r="L101" i="17"/>
  <c r="I122" i="17"/>
  <c r="J29" i="17"/>
  <c r="J32" i="17" s="1"/>
  <c r="J124" i="17"/>
  <c r="K50" i="17"/>
  <c r="K71" i="17"/>
  <c r="K73" i="17" s="1"/>
  <c r="K83" i="17" s="1"/>
  <c r="K81" i="17" s="1"/>
  <c r="K46" i="17"/>
  <c r="K54" i="17" s="1"/>
  <c r="K52" i="17" s="1"/>
  <c r="K152" i="17"/>
  <c r="K146" i="17"/>
  <c r="K149" i="17"/>
  <c r="K109" i="17"/>
  <c r="K155" i="17"/>
  <c r="K103" i="17"/>
  <c r="K113" i="17" s="1"/>
  <c r="K111" i="17" s="1"/>
  <c r="I77" i="17"/>
  <c r="J47" i="17"/>
  <c r="J74" i="17" s="1"/>
  <c r="J45" i="17"/>
  <c r="J48" i="17" s="1"/>
  <c r="J49" i="17" s="1"/>
  <c r="H156" i="17"/>
  <c r="H78" i="17"/>
  <c r="I78" i="17" s="1"/>
  <c r="J167" i="17"/>
  <c r="J164" i="17"/>
  <c r="J99" i="17"/>
  <c r="J97" i="17" s="1"/>
  <c r="J137" i="17"/>
  <c r="J161" i="17" s="1"/>
  <c r="J134" i="17"/>
  <c r="J158" i="17" s="1"/>
  <c r="I135" i="17"/>
  <c r="I159" i="17" s="1"/>
  <c r="I132" i="17"/>
  <c r="I156" i="17" s="1"/>
  <c r="I93" i="17"/>
  <c r="K87" i="17"/>
  <c r="K64" i="17"/>
  <c r="K58" i="17"/>
  <c r="K68" i="17" s="1"/>
  <c r="K66" i="17" s="1"/>
  <c r="I115" i="17"/>
  <c r="I8" i="17" s="1"/>
  <c r="I35" i="17"/>
  <c r="I4" i="17" s="1"/>
  <c r="M36" i="13"/>
  <c r="M38" i="13" s="1"/>
  <c r="L38" i="13"/>
  <c r="L12" i="13"/>
  <c r="K14" i="13"/>
  <c r="H40" i="13"/>
  <c r="H41" i="13" s="1"/>
  <c r="I37" i="13"/>
  <c r="G34" i="13"/>
  <c r="H31" i="13"/>
  <c r="H28" i="13"/>
  <c r="H29" i="13" s="1"/>
  <c r="H27" i="13"/>
  <c r="I25" i="13"/>
  <c r="H22" i="13"/>
  <c r="H23" i="13" s="1"/>
  <c r="H21" i="13"/>
  <c r="I19" i="13"/>
  <c r="G16" i="13"/>
  <c r="G15" i="13"/>
  <c r="H13" i="13"/>
  <c r="J138" i="17" l="1"/>
  <c r="J141" i="17"/>
  <c r="M63" i="17"/>
  <c r="K34" i="17"/>
  <c r="L28" i="17"/>
  <c r="L30" i="17" s="1"/>
  <c r="L38" i="17" s="1"/>
  <c r="L36" i="17" s="1"/>
  <c r="L42" i="17"/>
  <c r="L69" i="17" s="1"/>
  <c r="M108" i="17"/>
  <c r="J33" i="17"/>
  <c r="I94" i="17"/>
  <c r="I133" i="17"/>
  <c r="K29" i="17"/>
  <c r="K32" i="17" s="1"/>
  <c r="L64" i="17"/>
  <c r="L58" i="17"/>
  <c r="L68" i="17" s="1"/>
  <c r="L66" i="17" s="1"/>
  <c r="K124" i="17"/>
  <c r="L71" i="17"/>
  <c r="L73" i="17" s="1"/>
  <c r="L83" i="17" s="1"/>
  <c r="L81" i="17" s="1"/>
  <c r="L46" i="17"/>
  <c r="L54" i="17" s="1"/>
  <c r="L52" i="17" s="1"/>
  <c r="L50" i="17"/>
  <c r="I165" i="17"/>
  <c r="I142" i="17"/>
  <c r="L146" i="17"/>
  <c r="L155" i="17"/>
  <c r="L109" i="17"/>
  <c r="L103" i="17"/>
  <c r="L113" i="17" s="1"/>
  <c r="L111" i="17" s="1"/>
  <c r="L152" i="17"/>
  <c r="L149" i="17"/>
  <c r="I160" i="17"/>
  <c r="M6" i="17" s="1"/>
  <c r="N6" i="17" s="1"/>
  <c r="J123" i="17"/>
  <c r="J135" i="17"/>
  <c r="J159" i="17" s="1"/>
  <c r="J132" i="17"/>
  <c r="J156" i="17" s="1"/>
  <c r="J165" i="17"/>
  <c r="J162" i="17"/>
  <c r="J93" i="17"/>
  <c r="K47" i="17"/>
  <c r="K74" i="17" s="1"/>
  <c r="K45" i="17"/>
  <c r="K48" i="17" s="1"/>
  <c r="K49" i="17" s="1"/>
  <c r="K72" i="17"/>
  <c r="K76" i="17" s="1"/>
  <c r="J72" i="17"/>
  <c r="J76" i="17" s="1"/>
  <c r="J78" i="17" s="1"/>
  <c r="K79" i="17"/>
  <c r="M101" i="17"/>
  <c r="M56" i="17"/>
  <c r="N22" i="17"/>
  <c r="N60" i="17"/>
  <c r="N16" i="17"/>
  <c r="N17" i="17"/>
  <c r="N44" i="17" s="1"/>
  <c r="N105" i="17"/>
  <c r="N106" i="17"/>
  <c r="N107" i="17" s="1"/>
  <c r="N61" i="17"/>
  <c r="N62" i="17" s="1"/>
  <c r="L87" i="17"/>
  <c r="K92" i="17"/>
  <c r="K119" i="17" s="1"/>
  <c r="K90" i="17"/>
  <c r="K114" i="17"/>
  <c r="I162" i="17"/>
  <c r="I139" i="17"/>
  <c r="I157" i="17"/>
  <c r="M4" i="17" s="1"/>
  <c r="I136" i="17"/>
  <c r="K140" i="17"/>
  <c r="K164" i="17" s="1"/>
  <c r="K134" i="17"/>
  <c r="K158" i="17" s="1"/>
  <c r="K137" i="17"/>
  <c r="K161" i="17" s="1"/>
  <c r="K143" i="17"/>
  <c r="K167" i="17" s="1"/>
  <c r="K99" i="17"/>
  <c r="K97" i="17" s="1"/>
  <c r="M89" i="17"/>
  <c r="M19" i="17"/>
  <c r="M18" i="17"/>
  <c r="L116" i="17"/>
  <c r="L118" i="17" s="1"/>
  <c r="L128" i="17" s="1"/>
  <c r="L126" i="17" s="1"/>
  <c r="L95" i="17"/>
  <c r="L91" i="17"/>
  <c r="M12" i="13"/>
  <c r="M14" i="13" s="1"/>
  <c r="L14" i="13"/>
  <c r="J37" i="13"/>
  <c r="I40" i="13"/>
  <c r="I31" i="13"/>
  <c r="H34" i="13"/>
  <c r="I27" i="13"/>
  <c r="I28" i="13"/>
  <c r="J25" i="13"/>
  <c r="J19" i="13"/>
  <c r="I21" i="13"/>
  <c r="I22" i="13"/>
  <c r="H15" i="13"/>
  <c r="H16" i="13"/>
  <c r="H17" i="13" s="1"/>
  <c r="I13" i="13"/>
  <c r="L34" i="17" l="1"/>
  <c r="K33" i="17"/>
  <c r="M28" i="17"/>
  <c r="M42" i="17"/>
  <c r="M69" i="17" s="1"/>
  <c r="J94" i="17"/>
  <c r="K78" i="17"/>
  <c r="N108" i="17"/>
  <c r="L124" i="17"/>
  <c r="M71" i="17"/>
  <c r="M73" i="17" s="1"/>
  <c r="M83" i="17" s="1"/>
  <c r="M81" i="17" s="1"/>
  <c r="M50" i="17"/>
  <c r="M46" i="17"/>
  <c r="M54" i="17" s="1"/>
  <c r="M52" i="17" s="1"/>
  <c r="N89" i="17"/>
  <c r="N18" i="17"/>
  <c r="N19" i="17"/>
  <c r="M155" i="17"/>
  <c r="M149" i="17"/>
  <c r="M103" i="17"/>
  <c r="M113" i="17" s="1"/>
  <c r="M111" i="17" s="1"/>
  <c r="M146" i="17"/>
  <c r="M152" i="17"/>
  <c r="M109" i="17"/>
  <c r="L79" i="17"/>
  <c r="M116" i="17"/>
  <c r="M118" i="17" s="1"/>
  <c r="M128" i="17" s="1"/>
  <c r="M126" i="17" s="1"/>
  <c r="M95" i="17"/>
  <c r="M91" i="17"/>
  <c r="I163" i="17"/>
  <c r="M8" i="17" s="1"/>
  <c r="N8" i="17" s="1"/>
  <c r="N63" i="17"/>
  <c r="L29" i="17"/>
  <c r="L32" i="17" s="1"/>
  <c r="L33" i="17" s="1"/>
  <c r="N101" i="17"/>
  <c r="N56" i="17"/>
  <c r="K117" i="17"/>
  <c r="K121" i="17" s="1"/>
  <c r="K123" i="17" s="1"/>
  <c r="L45" i="17"/>
  <c r="L48" i="17" s="1"/>
  <c r="L49" i="17" s="1"/>
  <c r="L47" i="17"/>
  <c r="L74" i="17" s="1"/>
  <c r="I166" i="17"/>
  <c r="M10" i="17" s="1"/>
  <c r="N10" i="17" s="1"/>
  <c r="L143" i="17"/>
  <c r="L167" i="17" s="1"/>
  <c r="L134" i="17"/>
  <c r="L158" i="17" s="1"/>
  <c r="L137" i="17"/>
  <c r="L161" i="17" s="1"/>
  <c r="L99" i="17"/>
  <c r="L97" i="17" s="1"/>
  <c r="L140" i="17"/>
  <c r="L164" i="17" s="1"/>
  <c r="M87" i="17"/>
  <c r="K138" i="17"/>
  <c r="K132" i="17"/>
  <c r="K93" i="17"/>
  <c r="K135" i="17"/>
  <c r="K159" i="17" s="1"/>
  <c r="K141" i="17"/>
  <c r="L114" i="17"/>
  <c r="L117" i="17" s="1"/>
  <c r="L121" i="17" s="1"/>
  <c r="L90" i="17"/>
  <c r="L92" i="17"/>
  <c r="L119" i="17" s="1"/>
  <c r="M58" i="17"/>
  <c r="M68" i="17" s="1"/>
  <c r="M66" i="17" s="1"/>
  <c r="M64" i="17"/>
  <c r="J39" i="13"/>
  <c r="J40" i="13"/>
  <c r="K37" i="13"/>
  <c r="I34" i="13"/>
  <c r="J31" i="13"/>
  <c r="H35" i="13"/>
  <c r="K25" i="13"/>
  <c r="J27" i="13"/>
  <c r="J28" i="13"/>
  <c r="J22" i="13"/>
  <c r="J21" i="13"/>
  <c r="K19" i="13"/>
  <c r="J13" i="13"/>
  <c r="I15" i="13"/>
  <c r="I16" i="13"/>
  <c r="M34" i="17" l="1"/>
  <c r="M30" i="17"/>
  <c r="M38" i="17" s="1"/>
  <c r="M36" i="17" s="1"/>
  <c r="N28" i="17"/>
  <c r="N42" i="17"/>
  <c r="N69" i="17" s="1"/>
  <c r="K94" i="17"/>
  <c r="M124" i="17"/>
  <c r="K156" i="17"/>
  <c r="M72" i="17"/>
  <c r="M76" i="17" s="1"/>
  <c r="M45" i="17"/>
  <c r="M48" i="17" s="1"/>
  <c r="M49" i="17" s="1"/>
  <c r="M47" i="17"/>
  <c r="M74" i="17" s="1"/>
  <c r="N64" i="17"/>
  <c r="N65" i="17" s="1"/>
  <c r="N58" i="17"/>
  <c r="N68" i="17" s="1"/>
  <c r="N66" i="17" s="1"/>
  <c r="N67" i="17" s="1"/>
  <c r="M143" i="17"/>
  <c r="M167" i="17" s="1"/>
  <c r="M137" i="17"/>
  <c r="M161" i="17" s="1"/>
  <c r="M140" i="17"/>
  <c r="M164" i="17" s="1"/>
  <c r="M99" i="17"/>
  <c r="M97" i="17" s="1"/>
  <c r="M134" i="17"/>
  <c r="M158" i="17" s="1"/>
  <c r="N87" i="17"/>
  <c r="N20" i="17"/>
  <c r="N116" i="17"/>
  <c r="N118" i="17" s="1"/>
  <c r="N128" i="17" s="1"/>
  <c r="N126" i="17" s="1"/>
  <c r="N127" i="17" s="1"/>
  <c r="N91" i="17"/>
  <c r="N95" i="17"/>
  <c r="K165" i="17"/>
  <c r="K162" i="17"/>
  <c r="M114" i="17"/>
  <c r="M117" i="17" s="1"/>
  <c r="M121" i="17" s="1"/>
  <c r="M90" i="17"/>
  <c r="M92" i="17"/>
  <c r="M119" i="17" s="1"/>
  <c r="L123" i="17"/>
  <c r="N109" i="17"/>
  <c r="N110" i="17" s="1"/>
  <c r="N155" i="17"/>
  <c r="N152" i="17"/>
  <c r="N149" i="17"/>
  <c r="N146" i="17"/>
  <c r="N103" i="17"/>
  <c r="N113" i="17" s="1"/>
  <c r="N111" i="17" s="1"/>
  <c r="N112" i="17" s="1"/>
  <c r="N30" i="17"/>
  <c r="N38" i="17" s="1"/>
  <c r="N36" i="17" s="1"/>
  <c r="N37" i="17" s="1"/>
  <c r="N34" i="17"/>
  <c r="M79" i="17"/>
  <c r="L138" i="17"/>
  <c r="L162" i="17" s="1"/>
  <c r="L135" i="17"/>
  <c r="L159" i="17" s="1"/>
  <c r="L141" i="17"/>
  <c r="L165" i="17" s="1"/>
  <c r="L132" i="17"/>
  <c r="L156" i="17" s="1"/>
  <c r="L93" i="17"/>
  <c r="M29" i="17"/>
  <c r="M32" i="17" s="1"/>
  <c r="M33" i="17" s="1"/>
  <c r="L72" i="17"/>
  <c r="L76" i="17" s="1"/>
  <c r="N71" i="17"/>
  <c r="N73" i="17" s="1"/>
  <c r="N83" i="17" s="1"/>
  <c r="N81" i="17" s="1"/>
  <c r="N82" i="17" s="1"/>
  <c r="N46" i="17"/>
  <c r="N54" i="17" s="1"/>
  <c r="N52" i="17" s="1"/>
  <c r="N53" i="17" s="1"/>
  <c r="N50" i="17"/>
  <c r="K40" i="13"/>
  <c r="K39" i="13"/>
  <c r="L37" i="13"/>
  <c r="J34" i="13"/>
  <c r="J33" i="13"/>
  <c r="K31" i="13"/>
  <c r="K28" i="13"/>
  <c r="K27" i="13"/>
  <c r="L25" i="13"/>
  <c r="L19" i="13"/>
  <c r="K22" i="13"/>
  <c r="K21" i="13"/>
  <c r="K13" i="13"/>
  <c r="J16" i="13"/>
  <c r="J15" i="13"/>
  <c r="L94" i="17" l="1"/>
  <c r="M123" i="17"/>
  <c r="N137" i="17"/>
  <c r="N161" i="17" s="1"/>
  <c r="N134" i="17"/>
  <c r="N158" i="17" s="1"/>
  <c r="N143" i="17"/>
  <c r="N167" i="17" s="1"/>
  <c r="N99" i="17"/>
  <c r="N97" i="17" s="1"/>
  <c r="N98" i="17" s="1"/>
  <c r="N140" i="17"/>
  <c r="N164" i="17" s="1"/>
  <c r="N45" i="17"/>
  <c r="N48" i="17" s="1"/>
  <c r="N49" i="17" s="1"/>
  <c r="N47" i="17"/>
  <c r="N74" i="17" s="1"/>
  <c r="N75" i="17" s="1"/>
  <c r="N72" i="17"/>
  <c r="N76" i="17" s="1"/>
  <c r="N77" i="17" s="1"/>
  <c r="N43" i="17"/>
  <c r="N35" i="17"/>
  <c r="M141" i="17"/>
  <c r="M165" i="17" s="1"/>
  <c r="M135" i="17"/>
  <c r="M159" i="17" s="1"/>
  <c r="M93" i="17"/>
  <c r="M132" i="17"/>
  <c r="M138" i="17"/>
  <c r="M162" i="17" s="1"/>
  <c r="N114" i="17"/>
  <c r="N90" i="17"/>
  <c r="N92" i="17"/>
  <c r="N119" i="17" s="1"/>
  <c r="N120" i="17" s="1"/>
  <c r="L78" i="17"/>
  <c r="M78" i="17" s="1"/>
  <c r="N79" i="17"/>
  <c r="N80" i="17" s="1"/>
  <c r="N51" i="17"/>
  <c r="N88" i="17"/>
  <c r="N124" i="17"/>
  <c r="N125" i="17" s="1"/>
  <c r="N96" i="17"/>
  <c r="N29" i="17"/>
  <c r="N32" i="17" s="1"/>
  <c r="N33" i="17" s="1"/>
  <c r="N27" i="17"/>
  <c r="L40" i="13"/>
  <c r="L39" i="13"/>
  <c r="M37" i="13"/>
  <c r="K34" i="13"/>
  <c r="K33" i="13"/>
  <c r="L31" i="13"/>
  <c r="M25" i="13"/>
  <c r="L27" i="13"/>
  <c r="L28" i="13"/>
  <c r="L21" i="13"/>
  <c r="L22" i="13"/>
  <c r="M19" i="13"/>
  <c r="L13" i="13"/>
  <c r="K16" i="13"/>
  <c r="K15" i="13"/>
  <c r="M94" i="17" l="1"/>
  <c r="N70" i="17"/>
  <c r="N78" i="17"/>
  <c r="N117" i="17"/>
  <c r="N121" i="17" s="1"/>
  <c r="N115" i="17"/>
  <c r="N141" i="17"/>
  <c r="N138" i="17"/>
  <c r="N135" i="17"/>
  <c r="N132" i="17"/>
  <c r="N156" i="17" s="1"/>
  <c r="N93" i="17"/>
  <c r="M156" i="17"/>
  <c r="M39" i="13"/>
  <c r="M40" i="13"/>
  <c r="M41" i="13" s="1"/>
  <c r="M31" i="13"/>
  <c r="L33" i="13"/>
  <c r="L34" i="13"/>
  <c r="M27" i="13"/>
  <c r="M28" i="13"/>
  <c r="M29" i="13" s="1"/>
  <c r="M21" i="13"/>
  <c r="M22" i="13"/>
  <c r="M23" i="13" s="1"/>
  <c r="L15" i="13"/>
  <c r="L16" i="13"/>
  <c r="M13" i="13"/>
  <c r="N94" i="17" l="1"/>
  <c r="N157" i="17"/>
  <c r="N133" i="17"/>
  <c r="N159" i="17"/>
  <c r="N160" i="17" s="1"/>
  <c r="N136" i="17"/>
  <c r="N162" i="17"/>
  <c r="N163" i="17" s="1"/>
  <c r="N139" i="17"/>
  <c r="N165" i="17"/>
  <c r="N166" i="17" s="1"/>
  <c r="N142" i="17"/>
  <c r="N122" i="17"/>
  <c r="N123" i="17"/>
  <c r="M33" i="13"/>
  <c r="M34" i="13"/>
  <c r="M35" i="13" s="1"/>
  <c r="M15" i="13"/>
  <c r="M16" i="13"/>
  <c r="M17" i="13" l="1"/>
</calcChain>
</file>

<file path=xl/sharedStrings.xml><?xml version="1.0" encoding="utf-8"?>
<sst xmlns="http://schemas.openxmlformats.org/spreadsheetml/2006/main" count="328" uniqueCount="77">
  <si>
    <t>Bitcoin USD Price</t>
  </si>
  <si>
    <t>Bitcoin USD Marketcap</t>
  </si>
  <si>
    <t>Bitcoin USD Price Start</t>
  </si>
  <si>
    <t>Year 1</t>
  </si>
  <si>
    <t>Year 2</t>
  </si>
  <si>
    <t>Year 3</t>
  </si>
  <si>
    <t>Year 4</t>
  </si>
  <si>
    <t>Year 5</t>
  </si>
  <si>
    <t>Year 6</t>
  </si>
  <si>
    <t>Year 7</t>
  </si>
  <si>
    <t>Year 8</t>
  </si>
  <si>
    <t>Year 9</t>
  </si>
  <si>
    <t>Year 10</t>
  </si>
  <si>
    <t>Remaining BTC Yield %</t>
  </si>
  <si>
    <t>Cumulative BTC Yield %</t>
  </si>
  <si>
    <t>Annual BTC Yield %</t>
  </si>
  <si>
    <t>Bitcoin Growth Yield (BiGY)</t>
  </si>
  <si>
    <t>Bitcoin Transaction Yield (BiTY)</t>
  </si>
  <si>
    <t>Total Yield</t>
  </si>
  <si>
    <t>Annual</t>
  </si>
  <si>
    <t>Bitcoin</t>
  </si>
  <si>
    <t>Test Case</t>
  </si>
  <si>
    <t>Annual Average</t>
  </si>
  <si>
    <t>Bitcoin Compound Annual Growth Rate Calculator</t>
  </si>
  <si>
    <t>Start Price</t>
  </si>
  <si>
    <t>Start Date</t>
  </si>
  <si>
    <t>End Price</t>
  </si>
  <si>
    <t>End Date</t>
  </si>
  <si>
    <t>Bitcoin Lightning Bank
The Decentralized Strategy
Pairing Bitcoin Investors with Fiat Investors for Yield Farming</t>
  </si>
  <si>
    <t>Bitcoin Yield Estimate Variables</t>
  </si>
  <si>
    <t>Bitcoin Yield Estimate 5 Year Summary</t>
  </si>
  <si>
    <t>Compound Annual Growth Rate</t>
  </si>
  <si>
    <t>Bitcoin Compound Annual Growth Rate (CAGR)</t>
  </si>
  <si>
    <t>Annual Average BTC Yield %</t>
  </si>
  <si>
    <t>USD %</t>
  </si>
  <si>
    <t>BTC %</t>
  </si>
  <si>
    <t>Stable Balancer BTC %</t>
  </si>
  <si>
    <t>Stable Provider BTC %</t>
  </si>
  <si>
    <t>Stable Receiver USD %</t>
  </si>
  <si>
    <t>Stable Receiver / Fiat Investor</t>
  </si>
  <si>
    <t>Stable Provider / Bitcoin Investor</t>
  </si>
  <si>
    <t>Stable Balancer / Lightning Bank</t>
  </si>
  <si>
    <t>Total BTC %</t>
  </si>
  <si>
    <t>BTC</t>
  </si>
  <si>
    <t>USD</t>
  </si>
  <si>
    <t>Lightning Bank 5 Year Total Value Locked Revenue Summary</t>
  </si>
  <si>
    <t>SR USD Comp.</t>
  </si>
  <si>
    <t>USD
Compounded</t>
  </si>
  <si>
    <t>USD
Simple</t>
  </si>
  <si>
    <t>SP BiGY BTC</t>
  </si>
  <si>
    <t>SP Total BTC</t>
  </si>
  <si>
    <t>SB BiGY BTC</t>
  </si>
  <si>
    <t>SB Total BTC</t>
  </si>
  <si>
    <t>Annual Avg. %</t>
  </si>
  <si>
    <t>Annual Avg.</t>
  </si>
  <si>
    <t>Cumulative</t>
  </si>
  <si>
    <t>Cumulative %</t>
  </si>
  <si>
    <t>Remaining %</t>
  </si>
  <si>
    <t>Annual %</t>
  </si>
  <si>
    <t>Annual Average %</t>
  </si>
  <si>
    <t>Channel Annual %</t>
  </si>
  <si>
    <t>Channel Cumulative %</t>
  </si>
  <si>
    <t>Test Case Annual</t>
  </si>
  <si>
    <t>Test Case Cumulative</t>
  </si>
  <si>
    <t>Test Case Annual Average</t>
  </si>
  <si>
    <r>
      <t xml:space="preserve">Bitcoin Yield Estimate Variables
</t>
    </r>
    <r>
      <rPr>
        <sz val="11"/>
        <rFont val="Aptos Display"/>
        <family val="2"/>
        <scheme val="major"/>
      </rPr>
      <t>Bitcoin Transaction Yield = BiTY
Bitcoin Growth Yield = BiGY</t>
    </r>
  </si>
  <si>
    <t>Price</t>
  </si>
  <si>
    <t>Marketcap</t>
  </si>
  <si>
    <t>Unit of Account</t>
  </si>
  <si>
    <t>Measure</t>
  </si>
  <si>
    <t>Yield Estimate Calculator</t>
  </si>
  <si>
    <t>Bitcoin TVL</t>
  </si>
  <si>
    <t>Annual BiTY</t>
  </si>
  <si>
    <t>Annual BiGY (CAGR)</t>
  </si>
  <si>
    <t>BTC Measure</t>
  </si>
  <si>
    <t>BTC TVL</t>
  </si>
  <si>
    <t>Bitcoin Yield Estimate 10 Year Burndown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</si>
</sst>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quot; M&quot;"/>
    <numFmt numFmtId="165" formatCode="&quot;$&quot;#,##0,&quot; K&quot;"/>
    <numFmt numFmtId="166" formatCode="&quot;$&quot;###0.00,,,,&quot; T&quot;"/>
    <numFmt numFmtId="167" formatCode="&quot;$&quot;#,##0.00"/>
    <numFmt numFmtId="168" formatCode="#,##0,&quot; K&quot;"/>
    <numFmt numFmtId="169" formatCode="###0.0,,&quot; M&quot;"/>
    <numFmt numFmtId="170" formatCode="&quot;$&quot;###0.00,,,&quot; B&quot;"/>
  </numFmts>
  <fonts count="10" x14ac:knownFonts="1">
    <font>
      <sz val="11"/>
      <color theme="1"/>
      <name val="Aptos Narrow"/>
      <family val="2"/>
      <scheme val="minor"/>
    </font>
    <font>
      <sz val="11"/>
      <color theme="1"/>
      <name val="Aptos Display"/>
      <family val="2"/>
      <scheme val="major"/>
    </font>
    <font>
      <sz val="11"/>
      <color theme="0"/>
      <name val="Aptos Display"/>
      <family val="2"/>
      <scheme val="major"/>
    </font>
    <font>
      <sz val="11"/>
      <name val="Aptos Display"/>
      <family val="2"/>
      <scheme val="major"/>
    </font>
    <font>
      <b/>
      <sz val="11"/>
      <color theme="1"/>
      <name val="Aptos Display"/>
      <family val="2"/>
      <scheme val="major"/>
    </font>
    <font>
      <b/>
      <sz val="11"/>
      <name val="Aptos Display"/>
      <family val="2"/>
      <scheme val="major"/>
    </font>
    <font>
      <sz val="12"/>
      <color theme="0"/>
      <name val="Aptos Display"/>
      <family val="2"/>
      <scheme val="major"/>
    </font>
    <font>
      <sz val="11"/>
      <color rgb="FF006100"/>
      <name val="Aptos Narrow"/>
      <family val="2"/>
      <scheme val="minor"/>
    </font>
    <font>
      <b/>
      <sz val="11"/>
      <color rgb="FF006100"/>
      <name val="Aptos Narrow"/>
      <family val="2"/>
      <scheme val="minor"/>
    </font>
    <font>
      <sz val="18"/>
      <color theme="1"/>
      <name val="Aptos Display"/>
      <family val="2"/>
      <scheme val="major"/>
    </font>
  </fonts>
  <fills count="12">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5DAA9"/>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C6EFCE"/>
      </patternFill>
    </fill>
  </fills>
  <borders count="28">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thin">
        <color theme="0"/>
      </left>
      <right/>
      <top style="thin">
        <color indexed="64"/>
      </top>
      <bottom/>
      <diagonal/>
    </border>
    <border>
      <left style="thin">
        <color theme="0"/>
      </left>
      <right/>
      <top/>
      <bottom style="thin">
        <color indexed="64"/>
      </bottom>
      <diagonal/>
    </border>
    <border>
      <left/>
      <right/>
      <top style="thin">
        <color theme="0"/>
      </top>
      <bottom/>
      <diagonal/>
    </border>
    <border>
      <left style="thin">
        <color theme="0"/>
      </left>
      <right/>
      <top style="thin">
        <color theme="0"/>
      </top>
      <bottom/>
      <diagonal/>
    </border>
    <border>
      <left/>
      <right style="thin">
        <color theme="0"/>
      </right>
      <top/>
      <bottom style="thin">
        <color indexed="64"/>
      </bottom>
      <diagonal/>
    </border>
    <border>
      <left/>
      <right/>
      <top style="thin">
        <color theme="1" tint="0.34998626667073579"/>
      </top>
      <bottom style="thin">
        <color theme="1" tint="0.34998626667073579"/>
      </bottom>
      <diagonal/>
    </border>
    <border>
      <left/>
      <right style="thin">
        <color theme="0"/>
      </right>
      <top style="thin">
        <color theme="1" tint="0.34998626667073579"/>
      </top>
      <bottom style="thin">
        <color theme="1" tint="0.34998626667073579"/>
      </bottom>
      <diagonal/>
    </border>
    <border>
      <left style="thin">
        <color theme="0"/>
      </left>
      <right style="thin">
        <color theme="0"/>
      </right>
      <top style="thin">
        <color theme="1" tint="0.34998626667073579"/>
      </top>
      <bottom style="thin">
        <color theme="1" tint="0.34998626667073579"/>
      </bottom>
      <diagonal/>
    </border>
    <border>
      <left style="thin">
        <color theme="0"/>
      </left>
      <right style="thin">
        <color theme="0"/>
      </right>
      <top/>
      <bottom style="thin">
        <color theme="1" tint="0.34998626667073579"/>
      </bottom>
      <diagonal/>
    </border>
    <border>
      <left style="thin">
        <color theme="0"/>
      </left>
      <right/>
      <top style="thin">
        <color theme="1" tint="0.34998626667073579"/>
      </top>
      <bottom style="thin">
        <color theme="1" tint="0.34998626667073579"/>
      </bottom>
      <diagonal/>
    </border>
    <border>
      <left style="thin">
        <color theme="0"/>
      </left>
      <right/>
      <top/>
      <bottom style="thin">
        <color theme="0"/>
      </bottom>
      <diagonal/>
    </border>
    <border>
      <left style="thin">
        <color theme="0"/>
      </left>
      <right style="thin">
        <color theme="0"/>
      </right>
      <top style="thin">
        <color theme="0"/>
      </top>
      <bottom/>
      <diagonal/>
    </border>
  </borders>
  <cellStyleXfs count="2">
    <xf numFmtId="0" fontId="0" fillId="0" borderId="0"/>
    <xf numFmtId="0" fontId="7" fillId="11" borderId="0" applyNumberFormat="0" applyBorder="0" applyAlignment="0" applyProtection="0"/>
  </cellStyleXfs>
  <cellXfs count="133">
    <xf numFmtId="0" fontId="0" fillId="0" borderId="0" xfId="0"/>
    <xf numFmtId="0" fontId="1" fillId="0" borderId="4" xfId="0" applyFont="1" applyBorder="1" applyAlignment="1">
      <alignment horizontal="left" vertical="center" indent="1"/>
    </xf>
    <xf numFmtId="0" fontId="1" fillId="0" borderId="0" xfId="0" applyFont="1" applyAlignment="1">
      <alignment horizontal="left" vertical="center" indent="1"/>
    </xf>
    <xf numFmtId="0" fontId="4" fillId="3" borderId="0" xfId="0" applyFont="1" applyFill="1" applyAlignment="1">
      <alignment horizontal="left" vertical="center" indent="1"/>
    </xf>
    <xf numFmtId="0" fontId="1" fillId="0" borderId="3" xfId="0" applyFont="1" applyBorder="1" applyAlignment="1">
      <alignment horizontal="left" vertical="center" indent="1"/>
    </xf>
    <xf numFmtId="0" fontId="1" fillId="0" borderId="5" xfId="0" applyFont="1" applyBorder="1" applyAlignment="1">
      <alignment horizontal="left" vertical="center" indent="1"/>
    </xf>
    <xf numFmtId="0" fontId="1" fillId="6" borderId="0" xfId="0" applyFont="1" applyFill="1" applyAlignment="1">
      <alignment horizontal="left" vertical="center" wrapText="1" indent="1"/>
    </xf>
    <xf numFmtId="10" fontId="4" fillId="6" borderId="6" xfId="0" applyNumberFormat="1" applyFont="1" applyFill="1" applyBorder="1" applyAlignment="1">
      <alignment horizontal="left" vertical="center" wrapText="1" indent="1"/>
    </xf>
    <xf numFmtId="10" fontId="4" fillId="6" borderId="5" xfId="0" applyNumberFormat="1" applyFont="1" applyFill="1" applyBorder="1" applyAlignment="1">
      <alignment horizontal="left" vertical="center" wrapText="1"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164" fontId="1" fillId="0" borderId="3" xfId="0" applyNumberFormat="1" applyFont="1" applyBorder="1" applyAlignment="1">
      <alignment horizontal="left" vertical="center" indent="1"/>
    </xf>
    <xf numFmtId="0" fontId="1" fillId="0" borderId="8" xfId="0" applyFont="1" applyBorder="1" applyAlignment="1">
      <alignment horizontal="left" vertical="center" indent="1"/>
    </xf>
    <xf numFmtId="10" fontId="1" fillId="0" borderId="0" xfId="0" applyNumberFormat="1" applyFont="1" applyAlignment="1">
      <alignment horizontal="left" vertical="center" indent="1"/>
    </xf>
    <xf numFmtId="164" fontId="1" fillId="0" borderId="0" xfId="0" applyNumberFormat="1" applyFont="1" applyAlignment="1">
      <alignment horizontal="left" vertical="center" indent="1"/>
    </xf>
    <xf numFmtId="0" fontId="3" fillId="0" borderId="0" xfId="0" applyFont="1" applyAlignment="1">
      <alignment horizontal="left" vertical="center" indent="1"/>
    </xf>
    <xf numFmtId="167" fontId="1" fillId="0" borderId="0" xfId="0" applyNumberFormat="1" applyFont="1" applyAlignment="1">
      <alignment horizontal="left" vertical="center" indent="1"/>
    </xf>
    <xf numFmtId="0" fontId="5" fillId="5" borderId="10" xfId="0" applyFont="1" applyFill="1" applyBorder="1" applyAlignment="1">
      <alignment horizontal="left" vertical="center" indent="1"/>
    </xf>
    <xf numFmtId="10" fontId="5" fillId="5" borderId="10" xfId="0" applyNumberFormat="1" applyFont="1" applyFill="1" applyBorder="1" applyAlignment="1">
      <alignment horizontal="left" vertical="center" indent="1"/>
    </xf>
    <xf numFmtId="10" fontId="4" fillId="5" borderId="10" xfId="0" applyNumberFormat="1" applyFont="1" applyFill="1" applyBorder="1" applyAlignment="1">
      <alignment horizontal="left" vertical="center" indent="1"/>
    </xf>
    <xf numFmtId="0" fontId="3" fillId="0" borderId="10" xfId="0" applyFont="1" applyBorder="1" applyAlignment="1">
      <alignment horizontal="left" vertical="center" indent="1"/>
    </xf>
    <xf numFmtId="0" fontId="3" fillId="0" borderId="12" xfId="0" applyFont="1" applyBorder="1" applyAlignment="1">
      <alignment horizontal="left" vertical="center" indent="1"/>
    </xf>
    <xf numFmtId="4" fontId="1" fillId="0" borderId="12" xfId="0" applyNumberFormat="1" applyFont="1" applyBorder="1" applyAlignment="1">
      <alignment horizontal="left" vertical="center" indent="1"/>
    </xf>
    <xf numFmtId="164" fontId="1" fillId="0" borderId="12" xfId="0" applyNumberFormat="1" applyFont="1" applyBorder="1" applyAlignment="1">
      <alignment horizontal="left" vertical="center" indent="1"/>
    </xf>
    <xf numFmtId="164" fontId="1" fillId="6" borderId="12" xfId="0" applyNumberFormat="1" applyFont="1" applyFill="1" applyBorder="1" applyAlignment="1">
      <alignment horizontal="left" vertical="center" indent="1"/>
    </xf>
    <xf numFmtId="165" fontId="1" fillId="6" borderId="12" xfId="0" applyNumberFormat="1" applyFont="1" applyFill="1" applyBorder="1" applyAlignment="1">
      <alignment horizontal="left" vertical="center" indent="1"/>
    </xf>
    <xf numFmtId="165" fontId="1" fillId="0" borderId="12" xfId="0" applyNumberFormat="1" applyFont="1" applyBorder="1" applyAlignment="1">
      <alignment horizontal="left" vertical="center" indent="1"/>
    </xf>
    <xf numFmtId="166" fontId="1" fillId="0" borderId="12" xfId="0" applyNumberFormat="1" applyFont="1" applyBorder="1" applyAlignment="1">
      <alignment horizontal="left" vertical="center" indent="1"/>
    </xf>
    <xf numFmtId="10" fontId="3" fillId="0" borderId="12" xfId="0" applyNumberFormat="1" applyFont="1" applyBorder="1" applyAlignment="1">
      <alignment horizontal="left" vertical="center" indent="1"/>
    </xf>
    <xf numFmtId="3" fontId="1" fillId="0" borderId="12" xfId="0" applyNumberFormat="1" applyFont="1" applyBorder="1" applyAlignment="1">
      <alignment horizontal="left" vertical="center" indent="1"/>
    </xf>
    <xf numFmtId="3" fontId="4" fillId="8" borderId="12" xfId="0" applyNumberFormat="1" applyFont="1" applyFill="1" applyBorder="1" applyAlignment="1">
      <alignment horizontal="left" vertical="center" indent="1"/>
    </xf>
    <xf numFmtId="3" fontId="4" fillId="5" borderId="10" xfId="0" applyNumberFormat="1" applyFont="1" applyFill="1" applyBorder="1" applyAlignment="1">
      <alignment horizontal="left" vertical="center" indent="1"/>
    </xf>
    <xf numFmtId="3" fontId="4" fillId="8" borderId="10" xfId="0" applyNumberFormat="1" applyFont="1" applyFill="1" applyBorder="1" applyAlignment="1">
      <alignment horizontal="left" vertical="center" indent="1"/>
    </xf>
    <xf numFmtId="0" fontId="4" fillId="7" borderId="11" xfId="0" applyFont="1" applyFill="1" applyBorder="1" applyAlignment="1">
      <alignment horizontal="left" vertical="center" wrapText="1" indent="1"/>
    </xf>
    <xf numFmtId="0" fontId="4" fillId="4" borderId="11" xfId="0" applyFont="1" applyFill="1" applyBorder="1" applyAlignment="1">
      <alignment horizontal="left" vertical="center" wrapText="1" indent="1"/>
    </xf>
    <xf numFmtId="0" fontId="4" fillId="3" borderId="11" xfId="0" applyFont="1" applyFill="1" applyBorder="1" applyAlignment="1">
      <alignment horizontal="left" vertical="center" wrapText="1" indent="1"/>
    </xf>
    <xf numFmtId="10" fontId="4" fillId="0" borderId="3" xfId="0" applyNumberFormat="1" applyFont="1" applyBorder="1" applyAlignment="1">
      <alignment horizontal="left" vertical="center" indent="1"/>
    </xf>
    <xf numFmtId="0" fontId="3" fillId="0" borderId="10" xfId="0" applyFont="1" applyBorder="1" applyAlignment="1">
      <alignment horizontal="left" vertical="center" wrapText="1" indent="1"/>
    </xf>
    <xf numFmtId="164" fontId="4" fillId="4" borderId="10" xfId="0" applyNumberFormat="1" applyFont="1" applyFill="1" applyBorder="1" applyAlignment="1">
      <alignment horizontal="left" vertical="center" wrapText="1" indent="1"/>
    </xf>
    <xf numFmtId="10" fontId="4" fillId="4" borderId="10" xfId="0" applyNumberFormat="1" applyFont="1" applyFill="1" applyBorder="1" applyAlignment="1">
      <alignment horizontal="left" vertical="center" wrapText="1" indent="1"/>
    </xf>
    <xf numFmtId="10" fontId="4" fillId="4" borderId="10" xfId="0" applyNumberFormat="1" applyFont="1" applyFill="1" applyBorder="1" applyAlignment="1">
      <alignment horizontal="left" vertical="center" indent="1"/>
    </xf>
    <xf numFmtId="10" fontId="5" fillId="4" borderId="10" xfId="0" applyNumberFormat="1" applyFont="1" applyFill="1" applyBorder="1" applyAlignment="1">
      <alignment horizontal="left" vertical="center" wrapText="1" indent="1"/>
    </xf>
    <xf numFmtId="10" fontId="5" fillId="6" borderId="10" xfId="0" applyNumberFormat="1" applyFont="1" applyFill="1" applyBorder="1" applyAlignment="1">
      <alignment horizontal="left" vertical="center" wrapText="1" indent="1"/>
    </xf>
    <xf numFmtId="0" fontId="4" fillId="0" borderId="2" xfId="0" applyFont="1" applyBorder="1" applyAlignment="1">
      <alignment horizontal="left" vertical="center" indent="1"/>
    </xf>
    <xf numFmtId="10" fontId="4" fillId="8" borderId="10" xfId="0" applyNumberFormat="1" applyFont="1" applyFill="1" applyBorder="1" applyAlignment="1">
      <alignment horizontal="left" vertical="center" indent="1"/>
    </xf>
    <xf numFmtId="10" fontId="4" fillId="7" borderId="11" xfId="0" applyNumberFormat="1" applyFont="1" applyFill="1" applyBorder="1" applyAlignment="1">
      <alignment horizontal="left" vertical="center" indent="1"/>
    </xf>
    <xf numFmtId="10" fontId="4" fillId="4" borderId="11" xfId="0" applyNumberFormat="1" applyFont="1" applyFill="1" applyBorder="1" applyAlignment="1">
      <alignment horizontal="left" vertical="center" indent="1"/>
    </xf>
    <xf numFmtId="10" fontId="4" fillId="3" borderId="11" xfId="0" applyNumberFormat="1" applyFont="1" applyFill="1" applyBorder="1" applyAlignment="1">
      <alignment horizontal="left" vertical="center" indent="1"/>
    </xf>
    <xf numFmtId="0" fontId="3" fillId="0" borderId="4" xfId="0" applyFont="1" applyBorder="1" applyAlignment="1">
      <alignment horizontal="left" vertical="center" indent="1"/>
    </xf>
    <xf numFmtId="10" fontId="4" fillId="8" borderId="11" xfId="0" applyNumberFormat="1" applyFont="1" applyFill="1" applyBorder="1" applyAlignment="1">
      <alignment horizontal="left" vertical="center" wrapText="1" indent="1"/>
    </xf>
    <xf numFmtId="10" fontId="4" fillId="8" borderId="20" xfId="0" applyNumberFormat="1" applyFont="1" applyFill="1" applyBorder="1" applyAlignment="1">
      <alignment horizontal="left" vertical="center" wrapText="1" indent="1"/>
    </xf>
    <xf numFmtId="3" fontId="4" fillId="8" borderId="10" xfId="0" applyNumberFormat="1" applyFont="1" applyFill="1" applyBorder="1" applyAlignment="1">
      <alignment horizontal="left" vertical="center" wrapText="1" indent="1"/>
    </xf>
    <xf numFmtId="3" fontId="4" fillId="8" borderId="11" xfId="0" applyNumberFormat="1" applyFont="1" applyFill="1" applyBorder="1" applyAlignment="1">
      <alignment horizontal="left" vertical="center" wrapText="1" indent="1"/>
    </xf>
    <xf numFmtId="0" fontId="2" fillId="0" borderId="4" xfId="0" applyFont="1" applyBorder="1" applyAlignment="1">
      <alignment horizontal="left" vertical="center" indent="1"/>
    </xf>
    <xf numFmtId="0" fontId="4" fillId="7" borderId="0" xfId="0" applyFont="1" applyFill="1" applyAlignment="1">
      <alignment horizontal="left" vertical="center" indent="1"/>
    </xf>
    <xf numFmtId="10" fontId="5" fillId="7" borderId="0" xfId="0" applyNumberFormat="1" applyFont="1" applyFill="1" applyAlignment="1">
      <alignment horizontal="left" vertical="center" indent="1"/>
    </xf>
    <xf numFmtId="0" fontId="4" fillId="4" borderId="0" xfId="0" applyFont="1" applyFill="1" applyAlignment="1">
      <alignment horizontal="left" vertical="center" indent="1"/>
    </xf>
    <xf numFmtId="10" fontId="5" fillId="4" borderId="0" xfId="0" applyNumberFormat="1" applyFont="1" applyFill="1" applyAlignment="1">
      <alignment horizontal="left" vertical="center" indent="1"/>
    </xf>
    <xf numFmtId="10" fontId="5" fillId="3" borderId="0" xfId="0" applyNumberFormat="1" applyFont="1" applyFill="1" applyAlignment="1">
      <alignment horizontal="left" vertical="center" indent="1"/>
    </xf>
    <xf numFmtId="0" fontId="3" fillId="0" borderId="15" xfId="0" applyFont="1" applyBorder="1" applyAlignment="1">
      <alignment horizontal="left" vertical="center" indent="1"/>
    </xf>
    <xf numFmtId="0" fontId="1" fillId="0" borderId="12" xfId="0" applyFont="1" applyBorder="1" applyAlignment="1">
      <alignment horizontal="left" vertical="center" indent="1"/>
    </xf>
    <xf numFmtId="0" fontId="1" fillId="0" borderId="6" xfId="0" applyFont="1" applyBorder="1" applyAlignment="1">
      <alignment horizontal="left" vertical="center" indent="1"/>
    </xf>
    <xf numFmtId="164" fontId="1" fillId="0" borderId="22" xfId="0" applyNumberFormat="1" applyFont="1" applyBorder="1" applyAlignment="1">
      <alignment horizontal="left" vertical="center" indent="1"/>
    </xf>
    <xf numFmtId="164" fontId="1" fillId="0" borderId="23" xfId="0" applyNumberFormat="1" applyFont="1" applyBorder="1" applyAlignment="1">
      <alignment horizontal="left" vertical="center" indent="1"/>
    </xf>
    <xf numFmtId="166" fontId="1" fillId="0" borderId="22" xfId="0" applyNumberFormat="1" applyFont="1" applyBorder="1" applyAlignment="1">
      <alignment horizontal="left" vertical="center" indent="1"/>
    </xf>
    <xf numFmtId="166" fontId="1" fillId="0" borderId="23" xfId="0" applyNumberFormat="1" applyFont="1" applyBorder="1" applyAlignment="1">
      <alignment horizontal="left" vertical="center" indent="1"/>
    </xf>
    <xf numFmtId="10" fontId="5" fillId="5" borderId="21" xfId="0" applyNumberFormat="1" applyFont="1" applyFill="1" applyBorder="1" applyAlignment="1">
      <alignment horizontal="left" vertical="center" indent="1"/>
    </xf>
    <xf numFmtId="10" fontId="5" fillId="8" borderId="21" xfId="0" applyNumberFormat="1" applyFont="1" applyFill="1" applyBorder="1" applyAlignment="1">
      <alignment horizontal="left" vertical="center" indent="1"/>
    </xf>
    <xf numFmtId="10" fontId="1" fillId="0" borderId="22" xfId="0" applyNumberFormat="1" applyFont="1" applyBorder="1" applyAlignment="1">
      <alignment horizontal="left" vertical="center" indent="1"/>
    </xf>
    <xf numFmtId="10" fontId="1" fillId="0" borderId="23" xfId="0" applyNumberFormat="1" applyFont="1" applyBorder="1" applyAlignment="1">
      <alignment horizontal="left" vertical="center" indent="1"/>
    </xf>
    <xf numFmtId="10" fontId="3" fillId="0" borderId="23" xfId="0" applyNumberFormat="1" applyFont="1" applyBorder="1" applyAlignment="1">
      <alignment horizontal="left" vertical="center" indent="1"/>
    </xf>
    <xf numFmtId="0" fontId="3" fillId="0" borderId="23" xfId="0" applyFont="1" applyBorder="1" applyAlignment="1">
      <alignment horizontal="left" vertical="center" indent="1"/>
    </xf>
    <xf numFmtId="0" fontId="3" fillId="0" borderId="24" xfId="0" applyFont="1" applyBorder="1" applyAlignment="1">
      <alignment horizontal="left" vertical="center" indent="1"/>
    </xf>
    <xf numFmtId="0" fontId="5" fillId="5" borderId="25" xfId="0" applyFont="1" applyFill="1" applyBorder="1" applyAlignment="1">
      <alignment horizontal="left" vertical="center" indent="1"/>
    </xf>
    <xf numFmtId="0" fontId="3" fillId="0" borderId="12" xfId="0" applyFont="1" applyBorder="1" applyAlignment="1">
      <alignment horizontal="left" vertical="center" wrapText="1" indent="1"/>
    </xf>
    <xf numFmtId="10" fontId="4" fillId="7" borderId="12" xfId="0" applyNumberFormat="1" applyFont="1" applyFill="1" applyBorder="1" applyAlignment="1">
      <alignment vertical="center" wrapText="1"/>
    </xf>
    <xf numFmtId="10" fontId="4" fillId="6" borderId="12" xfId="0" applyNumberFormat="1" applyFont="1" applyFill="1" applyBorder="1" applyAlignment="1">
      <alignment horizontal="left" vertical="center" wrapText="1" indent="1"/>
    </xf>
    <xf numFmtId="10" fontId="4" fillId="6" borderId="0" xfId="0" applyNumberFormat="1" applyFont="1" applyFill="1" applyAlignment="1">
      <alignment horizontal="left" vertical="center" wrapText="1" indent="1"/>
    </xf>
    <xf numFmtId="0" fontId="1" fillId="0" borderId="27" xfId="0" applyFont="1" applyBorder="1" applyAlignment="1">
      <alignment horizontal="left" vertical="center" indent="1"/>
    </xf>
    <xf numFmtId="0" fontId="4" fillId="10" borderId="11" xfId="0" applyFont="1" applyFill="1" applyBorder="1" applyAlignment="1">
      <alignment horizontal="left" vertical="center" indent="1"/>
    </xf>
    <xf numFmtId="170" fontId="8" fillId="11" borderId="11" xfId="1" applyNumberFormat="1" applyFont="1" applyBorder="1" applyAlignment="1">
      <alignment horizontal="left" vertical="center" wrapText="1" indent="1"/>
    </xf>
    <xf numFmtId="0" fontId="3" fillId="0" borderId="13" xfId="0" applyFont="1" applyBorder="1" applyAlignment="1">
      <alignment horizontal="left" vertical="center" indent="1"/>
    </xf>
    <xf numFmtId="0" fontId="3" fillId="0" borderId="17" xfId="0" applyFont="1" applyBorder="1" applyAlignment="1">
      <alignment horizontal="left" vertical="center" indent="1"/>
    </xf>
    <xf numFmtId="0" fontId="3" fillId="0" borderId="15" xfId="0" applyFont="1" applyBorder="1" applyAlignment="1">
      <alignment horizontal="left" vertical="center" wrapText="1" indent="1"/>
    </xf>
    <xf numFmtId="168" fontId="3" fillId="0" borderId="12" xfId="0" applyNumberFormat="1" applyFont="1" applyBorder="1" applyAlignment="1">
      <alignment horizontal="left" vertical="center" wrapText="1" indent="1"/>
    </xf>
    <xf numFmtId="0" fontId="3" fillId="0" borderId="13" xfId="0" applyFont="1" applyBorder="1" applyAlignment="1">
      <alignment horizontal="left" vertical="center" wrapText="1" indent="1"/>
    </xf>
    <xf numFmtId="169" fontId="3" fillId="0" borderId="12" xfId="0" applyNumberFormat="1" applyFont="1" applyBorder="1" applyAlignment="1">
      <alignment horizontal="left" vertical="center" wrapText="1" indent="1"/>
    </xf>
    <xf numFmtId="0" fontId="6" fillId="2" borderId="0" xfId="0" applyFont="1" applyFill="1" applyAlignment="1">
      <alignment horizontal="left" vertical="center" wrapText="1" indent="1"/>
    </xf>
    <xf numFmtId="0" fontId="6" fillId="2" borderId="6" xfId="0" applyFont="1" applyFill="1" applyBorder="1" applyAlignment="1">
      <alignment horizontal="left" vertical="center" wrapText="1" indent="1"/>
    </xf>
    <xf numFmtId="0" fontId="4" fillId="9" borderId="18" xfId="0" applyFont="1" applyFill="1" applyBorder="1" applyAlignment="1">
      <alignment horizontal="left" vertical="center" indent="1"/>
    </xf>
    <xf numFmtId="0" fontId="4" fillId="9" borderId="11" xfId="0" applyFont="1" applyFill="1" applyBorder="1" applyAlignment="1">
      <alignment horizontal="left" vertical="center" indent="1"/>
    </xf>
    <xf numFmtId="0" fontId="5" fillId="10" borderId="18" xfId="0" applyFont="1" applyFill="1" applyBorder="1" applyAlignment="1">
      <alignment horizontal="left" vertical="center" indent="1"/>
    </xf>
    <xf numFmtId="0" fontId="5" fillId="10" borderId="7" xfId="0" applyFont="1" applyFill="1" applyBorder="1" applyAlignment="1">
      <alignment horizontal="left" vertical="center" indent="1"/>
    </xf>
    <xf numFmtId="0" fontId="5" fillId="10" borderId="11" xfId="0" applyFont="1" applyFill="1" applyBorder="1" applyAlignment="1">
      <alignment horizontal="left" vertical="center" indent="1"/>
    </xf>
    <xf numFmtId="0" fontId="5" fillId="10" borderId="20" xfId="0" applyFont="1" applyFill="1" applyBorder="1" applyAlignment="1">
      <alignment horizontal="left" vertical="center" indent="1"/>
    </xf>
    <xf numFmtId="0" fontId="5" fillId="10" borderId="0" xfId="0" applyFont="1" applyFill="1" applyAlignment="1">
      <alignment horizontal="left" vertical="center" indent="1"/>
    </xf>
    <xf numFmtId="0" fontId="6" fillId="2" borderId="19" xfId="0" applyFont="1" applyFill="1" applyBorder="1" applyAlignment="1">
      <alignment horizontal="left" vertical="center" wrapText="1" indent="1"/>
    </xf>
    <xf numFmtId="0" fontId="6" fillId="2" borderId="18" xfId="0" applyFont="1" applyFill="1" applyBorder="1" applyAlignment="1">
      <alignment horizontal="left" vertical="center" wrapText="1" indent="1"/>
    </xf>
    <xf numFmtId="0" fontId="6" fillId="2" borderId="9" xfId="0" applyFont="1" applyFill="1" applyBorder="1" applyAlignment="1">
      <alignment horizontal="left" vertical="center" wrapText="1" indent="1"/>
    </xf>
    <xf numFmtId="0" fontId="6" fillId="2" borderId="26" xfId="0" applyFont="1" applyFill="1" applyBorder="1" applyAlignment="1">
      <alignment horizontal="left" vertical="center" wrapText="1" indent="1"/>
    </xf>
    <xf numFmtId="0" fontId="5" fillId="10" borderId="18" xfId="0" applyFont="1" applyFill="1" applyBorder="1" applyAlignment="1">
      <alignment horizontal="left" vertical="center" wrapText="1" indent="1"/>
    </xf>
    <xf numFmtId="0" fontId="5" fillId="10" borderId="19" xfId="0" applyFont="1" applyFill="1" applyBorder="1" applyAlignment="1">
      <alignment horizontal="left" vertical="center" wrapText="1" indent="1"/>
    </xf>
    <xf numFmtId="0" fontId="5" fillId="10" borderId="17" xfId="0" applyFont="1" applyFill="1" applyBorder="1" applyAlignment="1">
      <alignment horizontal="left" vertical="center" wrapText="1" indent="1"/>
    </xf>
    <xf numFmtId="0" fontId="5" fillId="10" borderId="11" xfId="0" applyFont="1" applyFill="1" applyBorder="1" applyAlignment="1">
      <alignment horizontal="left" vertical="center" wrapText="1" indent="1"/>
    </xf>
    <xf numFmtId="0" fontId="5" fillId="10" borderId="0" xfId="0" applyFont="1" applyFill="1" applyAlignment="1">
      <alignment horizontal="left" vertical="center" wrapText="1" indent="1"/>
    </xf>
    <xf numFmtId="0" fontId="1" fillId="0" borderId="14" xfId="0" applyFont="1" applyBorder="1" applyAlignment="1">
      <alignment horizontal="left" vertical="center" indent="1"/>
    </xf>
    <xf numFmtId="0" fontId="1" fillId="0" borderId="15" xfId="0" applyFont="1" applyBorder="1" applyAlignment="1">
      <alignment horizontal="left" vertical="center" indent="1"/>
    </xf>
    <xf numFmtId="0" fontId="4" fillId="7" borderId="18" xfId="0" applyFont="1" applyFill="1" applyBorder="1" applyAlignment="1">
      <alignment horizontal="left" vertical="center" indent="1"/>
    </xf>
    <xf numFmtId="0" fontId="4" fillId="7" borderId="11" xfId="0" applyFont="1" applyFill="1" applyBorder="1" applyAlignment="1">
      <alignment horizontal="left" vertical="center" indent="1"/>
    </xf>
    <xf numFmtId="0" fontId="1" fillId="0" borderId="16" xfId="0" applyFont="1" applyBorder="1" applyAlignment="1">
      <alignment horizontal="left" vertical="center" indent="1"/>
    </xf>
    <xf numFmtId="0" fontId="1" fillId="0" borderId="17" xfId="0" applyFont="1" applyBorder="1" applyAlignment="1">
      <alignment horizontal="left" vertical="center" indent="1"/>
    </xf>
    <xf numFmtId="0" fontId="1" fillId="0" borderId="9" xfId="0" applyFont="1" applyBorder="1" applyAlignment="1">
      <alignment horizontal="left" vertical="center" indent="1"/>
    </xf>
    <xf numFmtId="0" fontId="1" fillId="0" borderId="4" xfId="0" applyFont="1" applyBorder="1" applyAlignment="1">
      <alignment horizontal="left" vertical="center" indent="1"/>
    </xf>
    <xf numFmtId="0" fontId="1" fillId="0" borderId="13" xfId="0" applyFont="1" applyBorder="1" applyAlignment="1">
      <alignment horizontal="left" vertical="center" indent="1"/>
    </xf>
    <xf numFmtId="0" fontId="1" fillId="0" borderId="12" xfId="0" applyFont="1" applyBorder="1" applyAlignment="1">
      <alignment horizontal="left" vertical="center" indent="1"/>
    </xf>
    <xf numFmtId="0" fontId="1" fillId="0" borderId="13" xfId="0" applyFont="1" applyBorder="1" applyAlignment="1">
      <alignment horizontal="left" vertical="center" wrapText="1" indent="1"/>
    </xf>
    <xf numFmtId="0" fontId="4" fillId="4" borderId="18" xfId="0" applyFont="1" applyFill="1" applyBorder="1" applyAlignment="1">
      <alignment horizontal="left" vertical="center" indent="1"/>
    </xf>
    <xf numFmtId="0" fontId="4" fillId="4" borderId="11" xfId="0" applyFont="1" applyFill="1" applyBorder="1" applyAlignment="1">
      <alignment horizontal="left" vertical="center" indent="1"/>
    </xf>
    <xf numFmtId="0" fontId="4" fillId="3" borderId="18" xfId="0" applyFont="1" applyFill="1" applyBorder="1" applyAlignment="1">
      <alignment horizontal="left" vertical="center" indent="1"/>
    </xf>
    <xf numFmtId="0" fontId="4" fillId="3" borderId="11" xfId="0" applyFont="1" applyFill="1" applyBorder="1" applyAlignment="1">
      <alignment horizontal="left" vertical="center" indent="1"/>
    </xf>
    <xf numFmtId="168" fontId="1" fillId="0" borderId="15" xfId="0" applyNumberFormat="1" applyFont="1" applyBorder="1" applyAlignment="1">
      <alignment horizontal="left" vertical="center" indent="1"/>
    </xf>
    <xf numFmtId="168" fontId="1" fillId="0" borderId="12" xfId="0" applyNumberFormat="1" applyFont="1" applyBorder="1" applyAlignment="1">
      <alignment horizontal="left" vertical="center" indent="1"/>
    </xf>
    <xf numFmtId="169" fontId="4" fillId="5" borderId="10" xfId="0" applyNumberFormat="1" applyFont="1" applyFill="1" applyBorder="1" applyAlignment="1">
      <alignment horizontal="left" vertical="center" indent="1"/>
    </xf>
    <xf numFmtId="0" fontId="4" fillId="3" borderId="0" xfId="0" applyFont="1" applyFill="1" applyAlignment="1">
      <alignment horizontal="left" vertical="center" wrapText="1" indent="1"/>
    </xf>
    <xf numFmtId="0" fontId="4" fillId="3" borderId="11" xfId="0" applyFont="1" applyFill="1" applyBorder="1" applyAlignment="1">
      <alignment horizontal="left" vertical="center" wrapText="1" indent="1"/>
    </xf>
    <xf numFmtId="167" fontId="4" fillId="4" borderId="12" xfId="0" applyNumberFormat="1" applyFont="1" applyFill="1" applyBorder="1" applyAlignment="1">
      <alignment horizontal="left" vertical="center" indent="1"/>
    </xf>
    <xf numFmtId="14" fontId="4" fillId="4" borderId="12" xfId="0" applyNumberFormat="1" applyFont="1" applyFill="1" applyBorder="1" applyAlignment="1">
      <alignment horizontal="left" vertical="center" wrapText="1" indent="1"/>
    </xf>
    <xf numFmtId="10" fontId="4" fillId="10" borderId="9" xfId="0" applyNumberFormat="1" applyFont="1" applyFill="1" applyBorder="1" applyAlignment="1">
      <alignment horizontal="left" vertical="center" indent="1"/>
    </xf>
    <xf numFmtId="10" fontId="4" fillId="10" borderId="0" xfId="0" applyNumberFormat="1" applyFont="1" applyFill="1" applyBorder="1" applyAlignment="1">
      <alignment vertical="center"/>
    </xf>
    <xf numFmtId="9" fontId="9" fillId="0" borderId="4" xfId="0" applyNumberFormat="1" applyFont="1" applyBorder="1" applyAlignment="1">
      <alignment horizontal="center" vertical="center"/>
    </xf>
    <xf numFmtId="9" fontId="9" fillId="0" borderId="15" xfId="0" applyNumberFormat="1" applyFont="1" applyBorder="1" applyAlignment="1">
      <alignment horizontal="center" vertical="center"/>
    </xf>
    <xf numFmtId="9" fontId="9" fillId="0" borderId="14" xfId="0" applyNumberFormat="1" applyFont="1" applyBorder="1" applyAlignment="1">
      <alignment horizontal="center" vertical="center"/>
    </xf>
    <xf numFmtId="9" fontId="9" fillId="0" borderId="24" xfId="0" applyNumberFormat="1" applyFont="1" applyBorder="1" applyAlignment="1">
      <alignment horizontal="center" vertical="center"/>
    </xf>
  </cellXfs>
  <cellStyles count="2">
    <cellStyle name="Good" xfId="1" builtinId="26"/>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5DAA9"/>
      <color rgb="FFFFE4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C312B-7137-4045-8B64-78704731C208}">
  <dimension ref="A1:R169"/>
  <sheetViews>
    <sheetView zoomScaleNormal="100" workbookViewId="0">
      <selection activeCell="B2" sqref="B2:C10"/>
    </sheetView>
  </sheetViews>
  <sheetFormatPr defaultRowHeight="15" customHeight="1" x14ac:dyDescent="0.45"/>
  <cols>
    <col min="1" max="1" width="1.73046875" style="5" customWidth="1"/>
    <col min="2" max="2" width="29.19921875" style="2" bestFit="1" customWidth="1"/>
    <col min="3" max="3" width="15.06640625" style="2" bestFit="1" customWidth="1"/>
    <col min="4" max="4" width="22.265625" style="2" bestFit="1" customWidth="1"/>
    <col min="5" max="14" width="13.6640625" style="2" customWidth="1"/>
    <col min="15" max="15" width="1.73046875" style="5" customWidth="1"/>
    <col min="16" max="16" width="14.46484375" style="2" customWidth="1"/>
    <col min="17" max="17" width="1.53125" style="2" customWidth="1"/>
    <col min="18" max="18" width="14.86328125" style="2" bestFit="1" customWidth="1"/>
    <col min="19" max="19" width="9.06640625" style="2" customWidth="1"/>
    <col min="20" max="16384" width="9.06640625" style="2"/>
  </cols>
  <sheetData>
    <row r="1" spans="1:15" ht="15" customHeight="1" x14ac:dyDescent="0.45">
      <c r="A1" s="9"/>
      <c r="B1" s="9"/>
      <c r="C1" s="9"/>
      <c r="D1" s="9"/>
      <c r="E1" s="9"/>
      <c r="F1" s="9"/>
      <c r="G1" s="9"/>
      <c r="H1" s="9"/>
      <c r="I1" s="9"/>
      <c r="J1" s="9"/>
      <c r="K1" s="78"/>
      <c r="L1" s="78"/>
      <c r="M1" s="78"/>
      <c r="N1" s="78"/>
    </row>
    <row r="2" spans="1:15" ht="45" customHeight="1" x14ac:dyDescent="0.45">
      <c r="A2" s="9"/>
      <c r="B2" s="96" t="s">
        <v>28</v>
      </c>
      <c r="C2" s="97"/>
      <c r="D2" s="100" t="s">
        <v>65</v>
      </c>
      <c r="E2" s="92"/>
      <c r="F2" s="9"/>
      <c r="G2" s="101" t="s">
        <v>30</v>
      </c>
      <c r="H2" s="100"/>
      <c r="I2" s="100"/>
      <c r="J2" s="5"/>
      <c r="K2" s="104" t="s">
        <v>45</v>
      </c>
      <c r="L2" s="104"/>
      <c r="M2" s="104"/>
      <c r="N2" s="104"/>
    </row>
    <row r="3" spans="1:15" ht="15" customHeight="1" x14ac:dyDescent="0.45">
      <c r="A3" s="9"/>
      <c r="B3" s="98"/>
      <c r="C3" s="87"/>
      <c r="D3" s="93"/>
      <c r="E3" s="94"/>
      <c r="F3" s="9"/>
      <c r="G3" s="102"/>
      <c r="H3" s="103"/>
      <c r="I3" s="103"/>
      <c r="J3" s="5"/>
      <c r="K3" s="79" t="s">
        <v>71</v>
      </c>
      <c r="L3" s="79" t="s">
        <v>69</v>
      </c>
      <c r="M3" s="79" t="s">
        <v>43</v>
      </c>
      <c r="N3" s="79" t="s">
        <v>44</v>
      </c>
      <c r="O3" s="10"/>
    </row>
    <row r="4" spans="1:15" ht="15" customHeight="1" x14ac:dyDescent="0.45">
      <c r="A4" s="10"/>
      <c r="B4" s="98"/>
      <c r="C4" s="87"/>
      <c r="D4" s="37" t="s">
        <v>2</v>
      </c>
      <c r="E4" s="38">
        <v>100000</v>
      </c>
      <c r="F4" s="10"/>
      <c r="G4" s="21" t="s">
        <v>46</v>
      </c>
      <c r="H4" s="81" t="s">
        <v>53</v>
      </c>
      <c r="I4" s="49">
        <f>I35</f>
        <v>0.27129299999999995</v>
      </c>
      <c r="J4" s="10"/>
      <c r="K4" s="84">
        <f>C132</f>
        <v>20000</v>
      </c>
      <c r="L4" s="85" t="s">
        <v>54</v>
      </c>
      <c r="M4" s="52">
        <f>I157</f>
        <v>148.13418513141912</v>
      </c>
      <c r="N4" s="80">
        <f>M4*$I$15</f>
        <v>55001186</v>
      </c>
      <c r="O4" s="10"/>
    </row>
    <row r="5" spans="1:15" ht="15" customHeight="1" x14ac:dyDescent="0.45">
      <c r="A5" s="43"/>
      <c r="B5" s="98"/>
      <c r="C5" s="87"/>
      <c r="D5" s="20" t="s">
        <v>72</v>
      </c>
      <c r="E5" s="39">
        <v>0.01</v>
      </c>
      <c r="F5" s="43"/>
      <c r="G5" s="60" t="s">
        <v>49</v>
      </c>
      <c r="H5" s="81" t="s">
        <v>53</v>
      </c>
      <c r="I5" s="49">
        <f>I43</f>
        <v>5.8453674052567649E-2</v>
      </c>
      <c r="J5" s="43"/>
      <c r="K5" s="84">
        <f>C132</f>
        <v>20000</v>
      </c>
      <c r="L5" s="82" t="s">
        <v>55</v>
      </c>
      <c r="M5" s="52">
        <f>I158</f>
        <v>740.67092565709549</v>
      </c>
      <c r="N5" s="80">
        <f>M5*$I$15</f>
        <v>275005929.99999994</v>
      </c>
      <c r="O5" s="43"/>
    </row>
    <row r="6" spans="1:15" ht="15" customHeight="1" x14ac:dyDescent="0.45">
      <c r="A6" s="43"/>
      <c r="B6" s="98"/>
      <c r="C6" s="87"/>
      <c r="D6" s="20" t="s">
        <v>73</v>
      </c>
      <c r="E6" s="40">
        <v>0.3</v>
      </c>
      <c r="F6" s="43"/>
      <c r="G6" s="83" t="s">
        <v>50</v>
      </c>
      <c r="H6" s="81" t="s">
        <v>53</v>
      </c>
      <c r="I6" s="49">
        <f>I70</f>
        <v>7.6453674052567644E-2</v>
      </c>
      <c r="J6" s="43"/>
      <c r="K6" s="84">
        <f>C135</f>
        <v>400000</v>
      </c>
      <c r="L6" s="85" t="s">
        <v>54</v>
      </c>
      <c r="M6" s="32">
        <f>I160</f>
        <v>2962.683702628382</v>
      </c>
      <c r="N6" s="80">
        <f t="shared" ref="N6:N11" si="0">M6*$I$15</f>
        <v>1100023719.9999998</v>
      </c>
      <c r="O6" s="43"/>
    </row>
    <row r="7" spans="1:15" ht="15" customHeight="1" x14ac:dyDescent="0.45">
      <c r="A7" s="10"/>
      <c r="B7" s="98"/>
      <c r="C7" s="87"/>
      <c r="D7" s="37" t="s">
        <v>38</v>
      </c>
      <c r="E7" s="41">
        <v>0.15</v>
      </c>
      <c r="F7" s="10"/>
      <c r="G7" s="60" t="s">
        <v>51</v>
      </c>
      <c r="H7" s="81" t="s">
        <v>53</v>
      </c>
      <c r="I7" s="50">
        <f>I88</f>
        <v>1.4613418513141912E-2</v>
      </c>
      <c r="J7" s="10"/>
      <c r="K7" s="84">
        <f>C135</f>
        <v>400000</v>
      </c>
      <c r="L7" s="82" t="s">
        <v>55</v>
      </c>
      <c r="M7" s="52">
        <f>I161</f>
        <v>14813.418513141911</v>
      </c>
      <c r="N7" s="80">
        <f t="shared" si="0"/>
        <v>5500118599.999999</v>
      </c>
      <c r="O7" s="10"/>
    </row>
    <row r="8" spans="1:15" ht="15" customHeight="1" x14ac:dyDescent="0.45">
      <c r="A8" s="10"/>
      <c r="B8" s="98"/>
      <c r="C8" s="87"/>
      <c r="D8" s="37" t="s">
        <v>37</v>
      </c>
      <c r="E8" s="41">
        <v>0.9</v>
      </c>
      <c r="F8" s="10"/>
      <c r="G8" s="83" t="s">
        <v>52</v>
      </c>
      <c r="H8" s="81" t="s">
        <v>53</v>
      </c>
      <c r="I8" s="50">
        <f>I115</f>
        <v>1.6613418513141916E-2</v>
      </c>
      <c r="J8" s="10"/>
      <c r="K8" s="86">
        <f>C162</f>
        <v>1000000</v>
      </c>
      <c r="L8" s="85" t="s">
        <v>54</v>
      </c>
      <c r="M8" s="52">
        <f>I163</f>
        <v>7406.7092565709563</v>
      </c>
      <c r="N8" s="80">
        <f t="shared" si="0"/>
        <v>2750059300</v>
      </c>
      <c r="O8" s="10"/>
    </row>
    <row r="9" spans="1:15" ht="15" customHeight="1" x14ac:dyDescent="0.45">
      <c r="A9" s="10"/>
      <c r="B9" s="98"/>
      <c r="C9" s="87"/>
      <c r="D9" s="37" t="s">
        <v>36</v>
      </c>
      <c r="E9" s="41">
        <v>0.1</v>
      </c>
      <c r="F9" s="10"/>
      <c r="G9" s="11"/>
      <c r="H9" s="11"/>
      <c r="I9" s="4"/>
      <c r="J9" s="9"/>
      <c r="K9" s="86">
        <f>C138</f>
        <v>1000000</v>
      </c>
      <c r="L9" s="82" t="s">
        <v>55</v>
      </c>
      <c r="M9" s="51">
        <f>I164</f>
        <v>37033.546282854782</v>
      </c>
      <c r="N9" s="80">
        <f t="shared" si="0"/>
        <v>13750296500</v>
      </c>
      <c r="O9" s="10"/>
    </row>
    <row r="10" spans="1:15" ht="15" customHeight="1" x14ac:dyDescent="0.45">
      <c r="A10" s="10"/>
      <c r="B10" s="99"/>
      <c r="C10" s="88"/>
      <c r="D10" s="37" t="s">
        <v>42</v>
      </c>
      <c r="E10" s="42">
        <f>SUM(E8:E9)</f>
        <v>1</v>
      </c>
      <c r="F10" s="4"/>
      <c r="G10" s="11"/>
      <c r="H10" s="11"/>
      <c r="I10" s="4"/>
      <c r="J10" s="9"/>
      <c r="K10" s="86">
        <f>C141</f>
        <v>2100000</v>
      </c>
      <c r="L10" s="85" t="s">
        <v>54</v>
      </c>
      <c r="M10" s="52">
        <f>I166</f>
        <v>15554.089438799007</v>
      </c>
      <c r="N10" s="80">
        <f t="shared" si="0"/>
        <v>5775124530</v>
      </c>
      <c r="O10" s="10"/>
    </row>
    <row r="11" spans="1:15" ht="15" customHeight="1" x14ac:dyDescent="0.45">
      <c r="A11" s="10"/>
      <c r="B11" s="11"/>
      <c r="C11" s="10"/>
      <c r="D11" s="11"/>
      <c r="E11" s="4"/>
      <c r="F11" s="4"/>
      <c r="G11" s="11"/>
      <c r="H11" s="11"/>
      <c r="I11" s="4"/>
      <c r="J11" s="9"/>
      <c r="K11" s="86">
        <f>C141</f>
        <v>2100000</v>
      </c>
      <c r="L11" s="82" t="s">
        <v>55</v>
      </c>
      <c r="M11" s="52">
        <f>I167</f>
        <v>77770.447193995031</v>
      </c>
      <c r="N11" s="80">
        <f t="shared" si="0"/>
        <v>28875622649.999996</v>
      </c>
      <c r="O11" s="10"/>
    </row>
    <row r="12" spans="1:15" ht="15" customHeight="1" x14ac:dyDescent="0.45">
      <c r="A12" s="9"/>
      <c r="B12" s="11"/>
      <c r="C12" s="9"/>
      <c r="D12" s="11"/>
      <c r="E12" s="4"/>
      <c r="F12" s="4"/>
      <c r="G12" s="11"/>
      <c r="H12" s="11"/>
      <c r="I12" s="4"/>
      <c r="J12" s="9"/>
      <c r="K12" s="9"/>
      <c r="L12" s="9"/>
      <c r="M12" s="4"/>
      <c r="N12" s="4"/>
      <c r="O12" s="9"/>
    </row>
    <row r="13" spans="1:15" ht="15" customHeight="1" x14ac:dyDescent="0.45">
      <c r="B13" s="91" t="s">
        <v>70</v>
      </c>
      <c r="C13" s="91" t="s">
        <v>68</v>
      </c>
      <c r="D13" s="91" t="s">
        <v>69</v>
      </c>
      <c r="E13" s="89" t="s">
        <v>3</v>
      </c>
      <c r="F13" s="89" t="s">
        <v>4</v>
      </c>
      <c r="G13" s="89" t="s">
        <v>5</v>
      </c>
      <c r="H13" s="89" t="s">
        <v>6</v>
      </c>
      <c r="I13" s="89" t="s">
        <v>7</v>
      </c>
      <c r="J13" s="89" t="s">
        <v>8</v>
      </c>
      <c r="K13" s="89" t="s">
        <v>9</v>
      </c>
      <c r="L13" s="89" t="s">
        <v>10</v>
      </c>
      <c r="M13" s="89" t="s">
        <v>11</v>
      </c>
      <c r="N13" s="89" t="s">
        <v>12</v>
      </c>
    </row>
    <row r="14" spans="1:15" ht="15" customHeight="1" x14ac:dyDescent="0.45">
      <c r="B14" s="93"/>
      <c r="C14" s="93"/>
      <c r="D14" s="93"/>
      <c r="E14" s="90"/>
      <c r="F14" s="90"/>
      <c r="G14" s="90"/>
      <c r="H14" s="90"/>
      <c r="I14" s="90"/>
      <c r="J14" s="90"/>
      <c r="K14" s="90"/>
      <c r="L14" s="90"/>
      <c r="M14" s="90"/>
      <c r="N14" s="90"/>
    </row>
    <row r="15" spans="1:15" ht="15" customHeight="1" x14ac:dyDescent="0.45">
      <c r="B15" s="105" t="s">
        <v>20</v>
      </c>
      <c r="C15" s="105" t="s">
        <v>44</v>
      </c>
      <c r="D15" s="21" t="s">
        <v>66</v>
      </c>
      <c r="E15" s="23">
        <f>($E$4 * $E$6) + $E$4</f>
        <v>130000</v>
      </c>
      <c r="F15" s="23">
        <f t="shared" ref="F15:N15" si="1">(E15 * $E$6) + E15</f>
        <v>169000</v>
      </c>
      <c r="G15" s="23">
        <f t="shared" si="1"/>
        <v>219700</v>
      </c>
      <c r="H15" s="23">
        <f t="shared" si="1"/>
        <v>285610</v>
      </c>
      <c r="I15" s="23">
        <f t="shared" si="1"/>
        <v>371293</v>
      </c>
      <c r="J15" s="23">
        <f t="shared" si="1"/>
        <v>482680.9</v>
      </c>
      <c r="K15" s="23">
        <f t="shared" si="1"/>
        <v>627485.17000000004</v>
      </c>
      <c r="L15" s="23">
        <f t="shared" si="1"/>
        <v>815730.72100000002</v>
      </c>
      <c r="M15" s="23">
        <f t="shared" si="1"/>
        <v>1060449.9373000001</v>
      </c>
      <c r="N15" s="23">
        <f t="shared" si="1"/>
        <v>1378584.9184900001</v>
      </c>
    </row>
    <row r="16" spans="1:15" ht="15" customHeight="1" x14ac:dyDescent="0.45">
      <c r="B16" s="106"/>
      <c r="C16" s="106"/>
      <c r="D16" s="21" t="s">
        <v>67</v>
      </c>
      <c r="E16" s="27">
        <f>E15*21000000</f>
        <v>2730000000000</v>
      </c>
      <c r="F16" s="27">
        <f t="shared" ref="F16:N16" si="2">F15*21000000</f>
        <v>3549000000000</v>
      </c>
      <c r="G16" s="27">
        <f t="shared" si="2"/>
        <v>4613700000000</v>
      </c>
      <c r="H16" s="27">
        <f t="shared" si="2"/>
        <v>5997810000000</v>
      </c>
      <c r="I16" s="27">
        <f t="shared" si="2"/>
        <v>7797153000000</v>
      </c>
      <c r="J16" s="27">
        <f t="shared" si="2"/>
        <v>10136298900000</v>
      </c>
      <c r="K16" s="27">
        <f t="shared" si="2"/>
        <v>13177188570000</v>
      </c>
      <c r="L16" s="27">
        <f t="shared" si="2"/>
        <v>17130345141000</v>
      </c>
      <c r="M16" s="27">
        <f t="shared" si="2"/>
        <v>22269448683300.004</v>
      </c>
      <c r="N16" s="27">
        <f t="shared" si="2"/>
        <v>28950283288290</v>
      </c>
    </row>
    <row r="17" spans="1:18" ht="15" customHeight="1" x14ac:dyDescent="0.45">
      <c r="B17" s="105" t="s">
        <v>16</v>
      </c>
      <c r="C17" s="109" t="s">
        <v>43</v>
      </c>
      <c r="D17" s="21" t="s">
        <v>56</v>
      </c>
      <c r="E17" s="28">
        <f t="shared" ref="E17:N17" si="3">(E15-$E$4)/E15</f>
        <v>0.23076923076923078</v>
      </c>
      <c r="F17" s="28">
        <f t="shared" si="3"/>
        <v>0.40828402366863903</v>
      </c>
      <c r="G17" s="28">
        <f t="shared" si="3"/>
        <v>0.54483386436049153</v>
      </c>
      <c r="H17" s="28">
        <f t="shared" si="3"/>
        <v>0.64987220335422424</v>
      </c>
      <c r="I17" s="28">
        <f t="shared" si="3"/>
        <v>0.73067092565709557</v>
      </c>
      <c r="J17" s="28">
        <f t="shared" si="3"/>
        <v>0.79282378896699668</v>
      </c>
      <c r="K17" s="28">
        <f t="shared" si="3"/>
        <v>0.84063368382076664</v>
      </c>
      <c r="L17" s="28">
        <f t="shared" si="3"/>
        <v>0.87741052601597436</v>
      </c>
      <c r="M17" s="28">
        <f t="shared" si="3"/>
        <v>0.90570040462767254</v>
      </c>
      <c r="N17" s="28">
        <f t="shared" si="3"/>
        <v>0.92746184971359424</v>
      </c>
    </row>
    <row r="18" spans="1:18" ht="15" customHeight="1" x14ac:dyDescent="0.45">
      <c r="B18" s="112"/>
      <c r="C18" s="111"/>
      <c r="D18" s="21" t="s">
        <v>57</v>
      </c>
      <c r="E18" s="28">
        <f>1-E17</f>
        <v>0.76923076923076916</v>
      </c>
      <c r="F18" s="28">
        <f t="shared" ref="F18:N18" si="4">1-F17</f>
        <v>0.59171597633136097</v>
      </c>
      <c r="G18" s="28">
        <f t="shared" si="4"/>
        <v>0.45516613563950847</v>
      </c>
      <c r="H18" s="28">
        <f t="shared" si="4"/>
        <v>0.35012779664577576</v>
      </c>
      <c r="I18" s="28">
        <f t="shared" si="4"/>
        <v>0.26932907434290443</v>
      </c>
      <c r="J18" s="28">
        <f t="shared" si="4"/>
        <v>0.20717621103300332</v>
      </c>
      <c r="K18" s="28">
        <f t="shared" si="4"/>
        <v>0.15936631617923336</v>
      </c>
      <c r="L18" s="28">
        <f t="shared" si="4"/>
        <v>0.12258947398402564</v>
      </c>
      <c r="M18" s="28">
        <f t="shared" si="4"/>
        <v>9.429959537232746E-2</v>
      </c>
      <c r="N18" s="28">
        <f t="shared" si="4"/>
        <v>7.2538150286405756E-2</v>
      </c>
    </row>
    <row r="19" spans="1:18" ht="15" customHeight="1" x14ac:dyDescent="0.45">
      <c r="B19" s="112"/>
      <c r="C19" s="111"/>
      <c r="D19" s="17" t="s">
        <v>58</v>
      </c>
      <c r="E19" s="19">
        <f>E17</f>
        <v>0.23076923076923078</v>
      </c>
      <c r="F19" s="19">
        <f>F17-E17</f>
        <v>0.17751479289940825</v>
      </c>
      <c r="G19" s="19">
        <f>G17-F17</f>
        <v>0.1365498406918525</v>
      </c>
      <c r="H19" s="19">
        <f t="shared" ref="H19:N19" si="5">H17-G17</f>
        <v>0.10503833899373272</v>
      </c>
      <c r="I19" s="19">
        <f t="shared" si="5"/>
        <v>8.0798722302871329E-2</v>
      </c>
      <c r="J19" s="19">
        <f t="shared" si="5"/>
        <v>6.2152863309901107E-2</v>
      </c>
      <c r="K19" s="19">
        <f t="shared" si="5"/>
        <v>4.7809894853769963E-2</v>
      </c>
      <c r="L19" s="19">
        <f t="shared" si="5"/>
        <v>3.6776842195207715E-2</v>
      </c>
      <c r="M19" s="19">
        <f t="shared" si="5"/>
        <v>2.8289878611698183E-2</v>
      </c>
      <c r="N19" s="19">
        <f t="shared" si="5"/>
        <v>2.1761445085921705E-2</v>
      </c>
    </row>
    <row r="20" spans="1:18" ht="15" customHeight="1" x14ac:dyDescent="0.45">
      <c r="B20" s="106"/>
      <c r="C20" s="110"/>
      <c r="D20" s="17" t="s">
        <v>59</v>
      </c>
      <c r="E20" s="19"/>
      <c r="F20" s="19"/>
      <c r="G20" s="19"/>
      <c r="H20" s="19"/>
      <c r="I20" s="19">
        <f>SUM(E19:I19)/5</f>
        <v>0.14613418513141913</v>
      </c>
      <c r="J20" s="18"/>
      <c r="K20" s="18"/>
      <c r="L20" s="18"/>
      <c r="M20" s="18"/>
      <c r="N20" s="19">
        <f>SUM(E19:N19)/10</f>
        <v>9.2746184971359419E-2</v>
      </c>
    </row>
    <row r="21" spans="1:18" ht="15" customHeight="1" x14ac:dyDescent="0.45">
      <c r="B21" s="105" t="s">
        <v>17</v>
      </c>
      <c r="C21" s="109" t="s">
        <v>43</v>
      </c>
      <c r="D21" s="17" t="s">
        <v>60</v>
      </c>
      <c r="E21" s="19">
        <f t="shared" ref="E21:N21" si="6">$E$5*2</f>
        <v>0.02</v>
      </c>
      <c r="F21" s="19">
        <f t="shared" si="6"/>
        <v>0.02</v>
      </c>
      <c r="G21" s="19">
        <f t="shared" si="6"/>
        <v>0.02</v>
      </c>
      <c r="H21" s="19">
        <f t="shared" si="6"/>
        <v>0.02</v>
      </c>
      <c r="I21" s="19">
        <f t="shared" si="6"/>
        <v>0.02</v>
      </c>
      <c r="J21" s="19">
        <f t="shared" si="6"/>
        <v>0.02</v>
      </c>
      <c r="K21" s="19">
        <f t="shared" si="6"/>
        <v>0.02</v>
      </c>
      <c r="L21" s="19">
        <f t="shared" si="6"/>
        <v>0.02</v>
      </c>
      <c r="M21" s="19">
        <f t="shared" si="6"/>
        <v>0.02</v>
      </c>
      <c r="N21" s="19">
        <f t="shared" si="6"/>
        <v>0.02</v>
      </c>
    </row>
    <row r="22" spans="1:18" ht="15" customHeight="1" x14ac:dyDescent="0.45">
      <c r="B22" s="106"/>
      <c r="C22" s="110"/>
      <c r="D22" s="17" t="s">
        <v>61</v>
      </c>
      <c r="E22" s="19">
        <f>E21</f>
        <v>0.02</v>
      </c>
      <c r="F22" s="19">
        <f>E22+F21</f>
        <v>0.04</v>
      </c>
      <c r="G22" s="19">
        <f t="shared" ref="G22:N22" si="7">F22+G21</f>
        <v>0.06</v>
      </c>
      <c r="H22" s="19">
        <f t="shared" si="7"/>
        <v>0.08</v>
      </c>
      <c r="I22" s="19">
        <f t="shared" si="7"/>
        <v>0.1</v>
      </c>
      <c r="J22" s="19">
        <f t="shared" si="7"/>
        <v>0.12000000000000001</v>
      </c>
      <c r="K22" s="19">
        <f t="shared" si="7"/>
        <v>0.14000000000000001</v>
      </c>
      <c r="L22" s="19">
        <f t="shared" si="7"/>
        <v>0.16</v>
      </c>
      <c r="M22" s="19">
        <f t="shared" si="7"/>
        <v>0.18</v>
      </c>
      <c r="N22" s="19">
        <f t="shared" si="7"/>
        <v>0.19999999999999998</v>
      </c>
    </row>
    <row r="23" spans="1:18" ht="15" customHeight="1" x14ac:dyDescent="0.45">
      <c r="B23" s="4"/>
      <c r="C23" s="1"/>
      <c r="D23" s="53"/>
      <c r="E23" s="36"/>
      <c r="F23" s="36"/>
      <c r="G23" s="36"/>
      <c r="H23" s="36"/>
      <c r="I23" s="36"/>
      <c r="J23" s="36"/>
      <c r="K23" s="36"/>
      <c r="L23" s="36"/>
      <c r="M23" s="36"/>
      <c r="N23" s="36"/>
    </row>
    <row r="24" spans="1:18" ht="15" customHeight="1" x14ac:dyDescent="0.45">
      <c r="A24" s="9"/>
      <c r="B24" s="107" t="s">
        <v>39</v>
      </c>
      <c r="C24" s="54" t="s">
        <v>34</v>
      </c>
      <c r="D24" s="55">
        <f>E7</f>
        <v>0.15</v>
      </c>
      <c r="E24" s="89" t="s">
        <v>3</v>
      </c>
      <c r="F24" s="89" t="s">
        <v>4</v>
      </c>
      <c r="G24" s="89" t="s">
        <v>5</v>
      </c>
      <c r="H24" s="89" t="s">
        <v>6</v>
      </c>
      <c r="I24" s="89" t="s">
        <v>7</v>
      </c>
      <c r="J24" s="89" t="s">
        <v>8</v>
      </c>
      <c r="K24" s="89" t="s">
        <v>9</v>
      </c>
      <c r="L24" s="89" t="s">
        <v>10</v>
      </c>
      <c r="M24" s="89" t="s">
        <v>11</v>
      </c>
      <c r="N24" s="89" t="s">
        <v>12</v>
      </c>
      <c r="O24" s="9"/>
    </row>
    <row r="25" spans="1:18" ht="15" customHeight="1" x14ac:dyDescent="0.45">
      <c r="B25" s="108"/>
      <c r="C25" s="45" t="s">
        <v>21</v>
      </c>
      <c r="D25" s="33" t="str">
        <f>"10 BTC / "&amp;TEXT($E$4*10, "$###0.00,,")&amp;"M USD"</f>
        <v>10 BTC / $1.00M USD</v>
      </c>
      <c r="E25" s="90"/>
      <c r="F25" s="90"/>
      <c r="G25" s="90"/>
      <c r="H25" s="90"/>
      <c r="I25" s="90"/>
      <c r="J25" s="90"/>
      <c r="K25" s="90"/>
      <c r="L25" s="90"/>
      <c r="M25" s="90"/>
      <c r="N25" s="90"/>
    </row>
    <row r="26" spans="1:18" ht="15" customHeight="1" x14ac:dyDescent="0.45">
      <c r="B26" s="105" t="s">
        <v>16</v>
      </c>
      <c r="C26" s="113" t="s">
        <v>43</v>
      </c>
      <c r="D26" s="17" t="s">
        <v>58</v>
      </c>
      <c r="E26" s="18">
        <f t="shared" ref="E26:N26" si="8">E31*$E$4/E$15</f>
        <v>0.11538461538461539</v>
      </c>
      <c r="F26" s="18">
        <f t="shared" si="8"/>
        <v>8.8757396449704137E-2</v>
      </c>
      <c r="G26" s="18">
        <f t="shared" si="8"/>
        <v>6.8274920345926263E-2</v>
      </c>
      <c r="H26" s="18">
        <f t="shared" si="8"/>
        <v>5.2519169496866358E-2</v>
      </c>
      <c r="I26" s="18">
        <f t="shared" si="8"/>
        <v>4.0399361151435657E-2</v>
      </c>
      <c r="J26" s="18">
        <f t="shared" si="8"/>
        <v>3.1076431654950505E-2</v>
      </c>
      <c r="K26" s="18">
        <f t="shared" si="8"/>
        <v>2.3904947426885002E-2</v>
      </c>
      <c r="L26" s="18">
        <f t="shared" si="8"/>
        <v>1.8388421097603851E-2</v>
      </c>
      <c r="M26" s="18">
        <f t="shared" si="8"/>
        <v>1.4144939305849114E-2</v>
      </c>
      <c r="N26" s="18">
        <f t="shared" si="8"/>
        <v>1.0880722542960857E-2</v>
      </c>
    </row>
    <row r="27" spans="1:18" ht="15" customHeight="1" x14ac:dyDescent="0.45">
      <c r="B27" s="112"/>
      <c r="C27" s="113"/>
      <c r="D27" s="17" t="s">
        <v>59</v>
      </c>
      <c r="E27" s="18"/>
      <c r="F27" s="18"/>
      <c r="G27" s="18"/>
      <c r="H27" s="18"/>
      <c r="I27" s="19">
        <f>SUM(E26:I26)/5</f>
        <v>7.3067092565709563E-2</v>
      </c>
      <c r="J27" s="18"/>
      <c r="K27" s="18"/>
      <c r="L27" s="18"/>
      <c r="M27" s="18"/>
      <c r="N27" s="19">
        <f>SUM(E26:N26)/10</f>
        <v>4.6373092485679709E-2</v>
      </c>
    </row>
    <row r="28" spans="1:18" ht="15" customHeight="1" x14ac:dyDescent="0.45">
      <c r="B28" s="112"/>
      <c r="C28" s="113"/>
      <c r="D28" s="17" t="s">
        <v>56</v>
      </c>
      <c r="E28" s="18">
        <f>E$17*(E26/E$19)</f>
        <v>0.11538461538461539</v>
      </c>
      <c r="F28" s="18">
        <f t="shared" ref="F28:N28" si="9">F$17*(F26/F$19)</f>
        <v>0.20414201183431957</v>
      </c>
      <c r="G28" s="18">
        <f t="shared" si="9"/>
        <v>0.27241693218024582</v>
      </c>
      <c r="H28" s="18">
        <f t="shared" si="9"/>
        <v>0.32493610167711212</v>
      </c>
      <c r="I28" s="18">
        <f t="shared" si="9"/>
        <v>0.36533546282854773</v>
      </c>
      <c r="J28" s="18">
        <f t="shared" si="9"/>
        <v>0.39641189448349773</v>
      </c>
      <c r="K28" s="18">
        <f t="shared" si="9"/>
        <v>0.42031684191038371</v>
      </c>
      <c r="L28" s="18">
        <f t="shared" si="9"/>
        <v>0.43870526300798701</v>
      </c>
      <c r="M28" s="18">
        <f t="shared" si="9"/>
        <v>0.45285020231383699</v>
      </c>
      <c r="N28" s="18">
        <f t="shared" si="9"/>
        <v>0.46373092485679734</v>
      </c>
    </row>
    <row r="29" spans="1:18" ht="15" customHeight="1" x14ac:dyDescent="0.45">
      <c r="B29" s="112"/>
      <c r="C29" s="114"/>
      <c r="D29" s="21" t="s">
        <v>62</v>
      </c>
      <c r="E29" s="22">
        <f>10*E26</f>
        <v>1.153846153846154</v>
      </c>
      <c r="F29" s="22">
        <f t="shared" ref="F29:N29" si="10">10*F26</f>
        <v>0.8875739644970414</v>
      </c>
      <c r="G29" s="22">
        <f t="shared" si="10"/>
        <v>0.6827492034592626</v>
      </c>
      <c r="H29" s="22">
        <f t="shared" si="10"/>
        <v>0.52519169496866358</v>
      </c>
      <c r="I29" s="22">
        <f t="shared" si="10"/>
        <v>0.40399361151435659</v>
      </c>
      <c r="J29" s="22">
        <f t="shared" si="10"/>
        <v>0.31076431654950504</v>
      </c>
      <c r="K29" s="22">
        <f t="shared" si="10"/>
        <v>0.23904947426885004</v>
      </c>
      <c r="L29" s="22">
        <f t="shared" si="10"/>
        <v>0.18388421097603852</v>
      </c>
      <c r="M29" s="22">
        <f t="shared" si="10"/>
        <v>0.14144939305849114</v>
      </c>
      <c r="N29" s="22">
        <f t="shared" si="10"/>
        <v>0.10880722542960858</v>
      </c>
      <c r="R29" s="13"/>
    </row>
    <row r="30" spans="1:18" ht="15" customHeight="1" x14ac:dyDescent="0.45">
      <c r="B30" s="112"/>
      <c r="C30" s="114"/>
      <c r="D30" s="21" t="s">
        <v>63</v>
      </c>
      <c r="E30" s="22">
        <f>10*E28</f>
        <v>1.153846153846154</v>
      </c>
      <c r="F30" s="22">
        <f>10*F28</f>
        <v>2.0414201183431957</v>
      </c>
      <c r="G30" s="22">
        <f>10*G28</f>
        <v>2.7241693218024583</v>
      </c>
      <c r="H30" s="22">
        <f t="shared" ref="H30:N30" si="11">10*H28</f>
        <v>3.2493610167711213</v>
      </c>
      <c r="I30" s="22">
        <f t="shared" si="11"/>
        <v>3.6533546282854772</v>
      </c>
      <c r="J30" s="22">
        <f t="shared" si="11"/>
        <v>3.9641189448349774</v>
      </c>
      <c r="K30" s="22">
        <f t="shared" si="11"/>
        <v>4.2031684191038368</v>
      </c>
      <c r="L30" s="22">
        <f t="shared" si="11"/>
        <v>4.3870526300798698</v>
      </c>
      <c r="M30" s="22">
        <f t="shared" si="11"/>
        <v>4.5285020231383699</v>
      </c>
      <c r="N30" s="22">
        <f t="shared" si="11"/>
        <v>4.6373092485679734</v>
      </c>
      <c r="R30" s="13"/>
    </row>
    <row r="31" spans="1:18" ht="15" customHeight="1" x14ac:dyDescent="0.45">
      <c r="B31" s="112"/>
      <c r="C31" s="115" t="s">
        <v>48</v>
      </c>
      <c r="D31" s="17" t="s">
        <v>58</v>
      </c>
      <c r="E31" s="18">
        <f>$D$24</f>
        <v>0.15</v>
      </c>
      <c r="F31" s="18">
        <f t="shared" ref="F31:N31" si="12">$D$24</f>
        <v>0.15</v>
      </c>
      <c r="G31" s="18">
        <f t="shared" si="12"/>
        <v>0.15</v>
      </c>
      <c r="H31" s="18">
        <f t="shared" si="12"/>
        <v>0.15</v>
      </c>
      <c r="I31" s="18">
        <f t="shared" si="12"/>
        <v>0.15</v>
      </c>
      <c r="J31" s="18">
        <f t="shared" si="12"/>
        <v>0.15</v>
      </c>
      <c r="K31" s="18">
        <f t="shared" si="12"/>
        <v>0.15</v>
      </c>
      <c r="L31" s="18">
        <f t="shared" si="12"/>
        <v>0.15</v>
      </c>
      <c r="M31" s="18">
        <f t="shared" si="12"/>
        <v>0.15</v>
      </c>
      <c r="N31" s="18">
        <f t="shared" si="12"/>
        <v>0.15</v>
      </c>
    </row>
    <row r="32" spans="1:18" ht="15" customHeight="1" x14ac:dyDescent="0.45">
      <c r="B32" s="112"/>
      <c r="C32" s="114"/>
      <c r="D32" s="21" t="s">
        <v>62</v>
      </c>
      <c r="E32" s="23">
        <f>E29*E$15</f>
        <v>150000.00000000003</v>
      </c>
      <c r="F32" s="23">
        <f t="shared" ref="F32:N32" si="13">F29*F$15</f>
        <v>150000</v>
      </c>
      <c r="G32" s="23">
        <f t="shared" si="13"/>
        <v>150000</v>
      </c>
      <c r="H32" s="23">
        <f t="shared" si="13"/>
        <v>150000</v>
      </c>
      <c r="I32" s="23">
        <f t="shared" si="13"/>
        <v>150000</v>
      </c>
      <c r="J32" s="23">
        <f t="shared" si="13"/>
        <v>150000</v>
      </c>
      <c r="K32" s="23">
        <f t="shared" si="13"/>
        <v>150000</v>
      </c>
      <c r="L32" s="23">
        <f t="shared" si="13"/>
        <v>150000.00000000003</v>
      </c>
      <c r="M32" s="23">
        <f t="shared" si="13"/>
        <v>150000</v>
      </c>
      <c r="N32" s="23">
        <f t="shared" si="13"/>
        <v>150000</v>
      </c>
    </row>
    <row r="33" spans="1:18" ht="15" customHeight="1" x14ac:dyDescent="0.45">
      <c r="B33" s="112"/>
      <c r="C33" s="114"/>
      <c r="D33" s="21" t="s">
        <v>63</v>
      </c>
      <c r="E33" s="23">
        <f>E32</f>
        <v>150000.00000000003</v>
      </c>
      <c r="F33" s="23">
        <f>E33+F32</f>
        <v>300000</v>
      </c>
      <c r="G33" s="23">
        <f t="shared" ref="G33:N33" si="14">F33+G32</f>
        <v>450000</v>
      </c>
      <c r="H33" s="23">
        <f t="shared" si="14"/>
        <v>600000</v>
      </c>
      <c r="I33" s="23">
        <f t="shared" si="14"/>
        <v>750000</v>
      </c>
      <c r="J33" s="23">
        <f t="shared" si="14"/>
        <v>900000</v>
      </c>
      <c r="K33" s="23">
        <f t="shared" si="14"/>
        <v>1050000</v>
      </c>
      <c r="L33" s="23">
        <f t="shared" si="14"/>
        <v>1200000</v>
      </c>
      <c r="M33" s="23">
        <f t="shared" si="14"/>
        <v>1350000</v>
      </c>
      <c r="N33" s="23">
        <f t="shared" si="14"/>
        <v>1500000</v>
      </c>
    </row>
    <row r="34" spans="1:18" ht="15" customHeight="1" x14ac:dyDescent="0.45">
      <c r="B34" s="112"/>
      <c r="C34" s="115" t="s">
        <v>47</v>
      </c>
      <c r="D34" s="17" t="s">
        <v>58</v>
      </c>
      <c r="E34" s="18">
        <f>E28*E$15/$E$4</f>
        <v>0.15</v>
      </c>
      <c r="F34" s="18">
        <f>F28*F$15/$E$4-E34</f>
        <v>0.19500000000000009</v>
      </c>
      <c r="G34" s="18">
        <f>G28*G$15/$E$4-F34-E34</f>
        <v>0.25349999999999995</v>
      </c>
      <c r="H34" s="18">
        <f>H28*H$15/$E$4-G34-F34-E34</f>
        <v>0.32955000000000001</v>
      </c>
      <c r="I34" s="18">
        <f>I28*I$15/$E$4-H34-G34-F34-E34</f>
        <v>0.42841499999999977</v>
      </c>
      <c r="J34" s="18">
        <f>J28*J$15/$E$4-I34-H34-G34-F34-E34</f>
        <v>0.55693949999999748</v>
      </c>
      <c r="K34" s="18">
        <f>K28*K$15/$E$4-J34-I34-H34-G34-F34-E34</f>
        <v>0.72402135000000556</v>
      </c>
      <c r="L34" s="18">
        <f>L28*L$15/$E$4-K34-J34-I34-H34-G34-F34-E34</f>
        <v>0.94122775499999645</v>
      </c>
      <c r="M34" s="18">
        <f>M28*M$15/$E$4-L34-K34-J34-I34-H34-G34-F34-E34</f>
        <v>1.2235960815000084</v>
      </c>
      <c r="N34" s="18">
        <f>N28*N$15/$E$4-M34-L34-K34-J34-I34-H34-G34-F34-E34</f>
        <v>1.5906749059499956</v>
      </c>
      <c r="R34" s="16"/>
    </row>
    <row r="35" spans="1:18" ht="15" customHeight="1" x14ac:dyDescent="0.45">
      <c r="B35" s="112"/>
      <c r="C35" s="113"/>
      <c r="D35" s="17" t="s">
        <v>59</v>
      </c>
      <c r="E35" s="19"/>
      <c r="F35" s="19"/>
      <c r="G35" s="19"/>
      <c r="H35" s="19"/>
      <c r="I35" s="44">
        <f>SUM(E34:I34)/5</f>
        <v>0.27129299999999995</v>
      </c>
      <c r="J35" s="19"/>
      <c r="K35" s="19"/>
      <c r="L35" s="19"/>
      <c r="M35" s="19"/>
      <c r="N35" s="19">
        <f>SUM(E34:N34)/10</f>
        <v>0.63929245924500033</v>
      </c>
    </row>
    <row r="36" spans="1:18" ht="15" customHeight="1" x14ac:dyDescent="0.45">
      <c r="B36" s="112"/>
      <c r="C36" s="114"/>
      <c r="D36" s="21" t="s">
        <v>62</v>
      </c>
      <c r="E36" s="24">
        <f>E38</f>
        <v>150000.00000000003</v>
      </c>
      <c r="F36" s="24">
        <f>F38-E38</f>
        <v>195000.00000000003</v>
      </c>
      <c r="G36" s="24">
        <f t="shared" ref="G36:N36" si="15">G38-F38</f>
        <v>253500.00000000006</v>
      </c>
      <c r="H36" s="24">
        <f t="shared" si="15"/>
        <v>329549.99999999988</v>
      </c>
      <c r="I36" s="24">
        <f t="shared" si="15"/>
        <v>428414.99999999977</v>
      </c>
      <c r="J36" s="24">
        <f t="shared" si="15"/>
        <v>556939.49999999767</v>
      </c>
      <c r="K36" s="24">
        <f t="shared" si="15"/>
        <v>724021.35000000498</v>
      </c>
      <c r="L36" s="24">
        <f t="shared" si="15"/>
        <v>941227.75499999616</v>
      </c>
      <c r="M36" s="24">
        <f t="shared" si="15"/>
        <v>1223596.0815000096</v>
      </c>
      <c r="N36" s="24">
        <f t="shared" si="15"/>
        <v>1590674.9059499949</v>
      </c>
    </row>
    <row r="37" spans="1:18" ht="15" customHeight="1" x14ac:dyDescent="0.45">
      <c r="B37" s="112"/>
      <c r="C37" s="114"/>
      <c r="D37" s="21" t="s">
        <v>64</v>
      </c>
      <c r="E37" s="24"/>
      <c r="F37" s="24"/>
      <c r="G37" s="24"/>
      <c r="H37" s="24"/>
      <c r="I37" s="24">
        <f>SUM(E36:I36)/5</f>
        <v>271292.99999999994</v>
      </c>
      <c r="J37" s="24"/>
      <c r="K37" s="24"/>
      <c r="L37" s="24"/>
      <c r="M37" s="24"/>
      <c r="N37" s="24">
        <f>SUM(E36:N36)/10</f>
        <v>639292.45924500027</v>
      </c>
    </row>
    <row r="38" spans="1:18" ht="15" customHeight="1" x14ac:dyDescent="0.45">
      <c r="B38" s="106"/>
      <c r="C38" s="114"/>
      <c r="D38" s="21" t="s">
        <v>63</v>
      </c>
      <c r="E38" s="23">
        <f t="shared" ref="E38:N38" si="16">E30*E$15</f>
        <v>150000.00000000003</v>
      </c>
      <c r="F38" s="23">
        <f t="shared" si="16"/>
        <v>345000.00000000006</v>
      </c>
      <c r="G38" s="23">
        <f t="shared" si="16"/>
        <v>598500.00000000012</v>
      </c>
      <c r="H38" s="23">
        <f t="shared" si="16"/>
        <v>928050</v>
      </c>
      <c r="I38" s="23">
        <f t="shared" si="16"/>
        <v>1356464.9999999998</v>
      </c>
      <c r="J38" s="23">
        <f t="shared" si="16"/>
        <v>1913404.4999999974</v>
      </c>
      <c r="K38" s="23">
        <f t="shared" si="16"/>
        <v>2637425.8500000024</v>
      </c>
      <c r="L38" s="23">
        <f t="shared" si="16"/>
        <v>3578653.6049999986</v>
      </c>
      <c r="M38" s="23">
        <f t="shared" si="16"/>
        <v>4802249.6865000082</v>
      </c>
      <c r="N38" s="23">
        <f t="shared" si="16"/>
        <v>6392924.5924500031</v>
      </c>
    </row>
    <row r="39" spans="1:18" ht="15" customHeight="1" x14ac:dyDescent="0.45">
      <c r="A39" s="9"/>
      <c r="B39" s="4"/>
      <c r="C39" s="1"/>
      <c r="D39" s="53"/>
      <c r="E39" s="36"/>
      <c r="F39" s="36"/>
      <c r="G39" s="36"/>
      <c r="H39" s="36"/>
      <c r="I39" s="36"/>
      <c r="J39" s="36"/>
      <c r="K39" s="36"/>
      <c r="L39" s="36"/>
      <c r="M39" s="36"/>
      <c r="N39" s="36"/>
      <c r="O39" s="9"/>
    </row>
    <row r="40" spans="1:18" ht="15" customHeight="1" x14ac:dyDescent="0.45">
      <c r="B40" s="116" t="s">
        <v>40</v>
      </c>
      <c r="C40" s="56" t="s">
        <v>35</v>
      </c>
      <c r="D40" s="57">
        <f>E8</f>
        <v>0.9</v>
      </c>
      <c r="E40" s="89" t="s">
        <v>3</v>
      </c>
      <c r="F40" s="89" t="s">
        <v>4</v>
      </c>
      <c r="G40" s="89" t="s">
        <v>5</v>
      </c>
      <c r="H40" s="89" t="s">
        <v>6</v>
      </c>
      <c r="I40" s="89" t="s">
        <v>7</v>
      </c>
      <c r="J40" s="89" t="s">
        <v>8</v>
      </c>
      <c r="K40" s="89" t="s">
        <v>9</v>
      </c>
      <c r="L40" s="89" t="s">
        <v>10</v>
      </c>
      <c r="M40" s="89" t="s">
        <v>11</v>
      </c>
      <c r="N40" s="89" t="s">
        <v>12</v>
      </c>
    </row>
    <row r="41" spans="1:18" ht="15" customHeight="1" x14ac:dyDescent="0.45">
      <c r="B41" s="117"/>
      <c r="C41" s="46" t="s">
        <v>21</v>
      </c>
      <c r="D41" s="34" t="str">
        <f>"10 BTC / "&amp;TEXT($E$4*10, "$###0.00,,")&amp;"M USD"</f>
        <v>10 BTC / $1.00M USD</v>
      </c>
      <c r="E41" s="90"/>
      <c r="F41" s="90"/>
      <c r="G41" s="90"/>
      <c r="H41" s="90"/>
      <c r="I41" s="90"/>
      <c r="J41" s="90"/>
      <c r="K41" s="90"/>
      <c r="L41" s="90"/>
      <c r="M41" s="90"/>
      <c r="N41" s="90"/>
    </row>
    <row r="42" spans="1:18" ht="15" customHeight="1" x14ac:dyDescent="0.45">
      <c r="B42" s="114" t="s">
        <v>16</v>
      </c>
      <c r="C42" s="113" t="s">
        <v>43</v>
      </c>
      <c r="D42" s="17" t="s">
        <v>58</v>
      </c>
      <c r="E42" s="18">
        <f>E$19*$D40-E26</f>
        <v>9.2307692307692313E-2</v>
      </c>
      <c r="F42" s="18">
        <f t="shared" ref="F42:N42" si="17">F$19*$D40-F26</f>
        <v>7.1005917159763302E-2</v>
      </c>
      <c r="G42" s="18">
        <f t="shared" si="17"/>
        <v>5.4619936276740985E-2</v>
      </c>
      <c r="H42" s="18">
        <f t="shared" si="17"/>
        <v>4.2015335597493084E-2</v>
      </c>
      <c r="I42" s="18">
        <f t="shared" si="17"/>
        <v>3.2319488921148547E-2</v>
      </c>
      <c r="J42" s="18">
        <f t="shared" si="17"/>
        <v>2.4861145323960492E-2</v>
      </c>
      <c r="K42" s="18">
        <f t="shared" si="17"/>
        <v>1.9123957941507966E-2</v>
      </c>
      <c r="L42" s="18">
        <f t="shared" si="17"/>
        <v>1.4710736878083094E-2</v>
      </c>
      <c r="M42" s="18">
        <f t="shared" si="17"/>
        <v>1.1315951444679251E-2</v>
      </c>
      <c r="N42" s="18">
        <f t="shared" si="17"/>
        <v>8.7045780343686773E-3</v>
      </c>
      <c r="R42" s="13"/>
    </row>
    <row r="43" spans="1:18" ht="15" customHeight="1" x14ac:dyDescent="0.45">
      <c r="B43" s="114"/>
      <c r="C43" s="113"/>
      <c r="D43" s="17" t="s">
        <v>59</v>
      </c>
      <c r="E43" s="18"/>
      <c r="F43" s="18"/>
      <c r="G43" s="18"/>
      <c r="H43" s="18"/>
      <c r="I43" s="44">
        <f>SUM(E42:I42)/5</f>
        <v>5.8453674052567649E-2</v>
      </c>
      <c r="J43" s="18"/>
      <c r="K43" s="18"/>
      <c r="L43" s="18"/>
      <c r="M43" s="18"/>
      <c r="N43" s="19">
        <f>SUM(E42:N42)/10</f>
        <v>3.7098473988543774E-2</v>
      </c>
      <c r="R43" s="13"/>
    </row>
    <row r="44" spans="1:18" ht="15" customHeight="1" x14ac:dyDescent="0.45">
      <c r="B44" s="114"/>
      <c r="C44" s="113"/>
      <c r="D44" s="17" t="s">
        <v>56</v>
      </c>
      <c r="E44" s="18">
        <f>E$17*$D40-E26</f>
        <v>9.2307692307692313E-2</v>
      </c>
      <c r="F44" s="18">
        <f t="shared" ref="F44:N44" si="18">F$17*$D40-F26</f>
        <v>0.27869822485207096</v>
      </c>
      <c r="G44" s="18">
        <f t="shared" si="18"/>
        <v>0.42207555757851611</v>
      </c>
      <c r="H44" s="18">
        <f t="shared" si="18"/>
        <v>0.53236581352193557</v>
      </c>
      <c r="I44" s="18">
        <f t="shared" si="18"/>
        <v>0.61720447193995043</v>
      </c>
      <c r="J44" s="18">
        <f t="shared" si="18"/>
        <v>0.68246497841534648</v>
      </c>
      <c r="K44" s="18">
        <f t="shared" si="18"/>
        <v>0.73266536801180504</v>
      </c>
      <c r="L44" s="18">
        <f t="shared" si="18"/>
        <v>0.77128105231677313</v>
      </c>
      <c r="M44" s="18">
        <f t="shared" si="18"/>
        <v>0.80098542485905611</v>
      </c>
      <c r="N44" s="18">
        <f t="shared" si="18"/>
        <v>0.82383494219927389</v>
      </c>
    </row>
    <row r="45" spans="1:18" ht="15" customHeight="1" x14ac:dyDescent="0.45">
      <c r="B45" s="114"/>
      <c r="C45" s="114"/>
      <c r="D45" s="21" t="s">
        <v>62</v>
      </c>
      <c r="E45" s="22">
        <f>10*E42</f>
        <v>0.92307692307692313</v>
      </c>
      <c r="F45" s="22">
        <f t="shared" ref="F45:N45" si="19">10*F42</f>
        <v>0.71005917159763299</v>
      </c>
      <c r="G45" s="22">
        <f t="shared" si="19"/>
        <v>0.54619936276740988</v>
      </c>
      <c r="H45" s="22">
        <f t="shared" si="19"/>
        <v>0.42015335597493086</v>
      </c>
      <c r="I45" s="22">
        <f t="shared" si="19"/>
        <v>0.32319488921148548</v>
      </c>
      <c r="J45" s="22">
        <f t="shared" si="19"/>
        <v>0.24861145323960493</v>
      </c>
      <c r="K45" s="22">
        <f t="shared" si="19"/>
        <v>0.19123957941507966</v>
      </c>
      <c r="L45" s="22">
        <f t="shared" si="19"/>
        <v>0.14710736878083094</v>
      </c>
      <c r="M45" s="22">
        <f t="shared" si="19"/>
        <v>0.11315951444679251</v>
      </c>
      <c r="N45" s="22">
        <f t="shared" si="19"/>
        <v>8.7045780343686777E-2</v>
      </c>
    </row>
    <row r="46" spans="1:18" ht="15" customHeight="1" x14ac:dyDescent="0.45">
      <c r="B46" s="114"/>
      <c r="C46" s="114"/>
      <c r="D46" s="21" t="s">
        <v>63</v>
      </c>
      <c r="E46" s="22">
        <f>10*E44</f>
        <v>0.92307692307692313</v>
      </c>
      <c r="F46" s="22">
        <f>10*F44</f>
        <v>2.7869822485207099</v>
      </c>
      <c r="G46" s="22">
        <f>10*G44</f>
        <v>4.2207555757851614</v>
      </c>
      <c r="H46" s="22">
        <f t="shared" ref="H46:N46" si="20">10*H44</f>
        <v>5.3236581352193557</v>
      </c>
      <c r="I46" s="22">
        <f t="shared" si="20"/>
        <v>6.1720447193995041</v>
      </c>
      <c r="J46" s="22">
        <f t="shared" si="20"/>
        <v>6.8246497841534648</v>
      </c>
      <c r="K46" s="22">
        <f t="shared" si="20"/>
        <v>7.3266536801180502</v>
      </c>
      <c r="L46" s="22">
        <f t="shared" si="20"/>
        <v>7.7128105231677315</v>
      </c>
      <c r="M46" s="22">
        <f t="shared" si="20"/>
        <v>8.0098542485905604</v>
      </c>
      <c r="N46" s="22">
        <f t="shared" si="20"/>
        <v>8.2383494219927389</v>
      </c>
    </row>
    <row r="47" spans="1:18" ht="15" customHeight="1" x14ac:dyDescent="0.45">
      <c r="B47" s="114"/>
      <c r="C47" s="115" t="s">
        <v>48</v>
      </c>
      <c r="D47" s="17" t="s">
        <v>58</v>
      </c>
      <c r="E47" s="18">
        <f t="shared" ref="E47:N47" si="21">E42*E$15/$E$4</f>
        <v>0.12</v>
      </c>
      <c r="F47" s="18">
        <f t="shared" si="21"/>
        <v>0.11999999999999998</v>
      </c>
      <c r="G47" s="18">
        <f t="shared" si="21"/>
        <v>0.11999999999999994</v>
      </c>
      <c r="H47" s="18">
        <f t="shared" si="21"/>
        <v>0.12</v>
      </c>
      <c r="I47" s="18">
        <f t="shared" si="21"/>
        <v>0.12000000000000008</v>
      </c>
      <c r="J47" s="18">
        <f t="shared" si="21"/>
        <v>0.12000000000000041</v>
      </c>
      <c r="K47" s="18">
        <f t="shared" si="21"/>
        <v>0.11999999999999976</v>
      </c>
      <c r="L47" s="18">
        <f t="shared" si="21"/>
        <v>0.12000000000000012</v>
      </c>
      <c r="M47" s="18">
        <f t="shared" si="21"/>
        <v>0.11999999999999958</v>
      </c>
      <c r="N47" s="18">
        <f t="shared" si="21"/>
        <v>0.11999999999999987</v>
      </c>
      <c r="R47" s="13"/>
    </row>
    <row r="48" spans="1:18" ht="15" customHeight="1" x14ac:dyDescent="0.45">
      <c r="B48" s="114"/>
      <c r="C48" s="114"/>
      <c r="D48" s="21" t="s">
        <v>62</v>
      </c>
      <c r="E48" s="23">
        <f t="shared" ref="E48:N48" si="22">E45*E$15</f>
        <v>120000</v>
      </c>
      <c r="F48" s="23">
        <f t="shared" si="22"/>
        <v>119999.99999999997</v>
      </c>
      <c r="G48" s="23">
        <f t="shared" si="22"/>
        <v>119999.99999999996</v>
      </c>
      <c r="H48" s="23">
        <f t="shared" si="22"/>
        <v>120000</v>
      </c>
      <c r="I48" s="23">
        <f t="shared" si="22"/>
        <v>120000.00000000007</v>
      </c>
      <c r="J48" s="23">
        <f t="shared" si="22"/>
        <v>120000.00000000042</v>
      </c>
      <c r="K48" s="23">
        <f t="shared" si="22"/>
        <v>119999.99999999977</v>
      </c>
      <c r="L48" s="23">
        <f t="shared" si="22"/>
        <v>120000.00000000012</v>
      </c>
      <c r="M48" s="23">
        <f t="shared" si="22"/>
        <v>119999.99999999958</v>
      </c>
      <c r="N48" s="23">
        <f t="shared" si="22"/>
        <v>119999.99999999988</v>
      </c>
      <c r="R48" s="13"/>
    </row>
    <row r="49" spans="2:18" ht="15" customHeight="1" x14ac:dyDescent="0.45">
      <c r="B49" s="114"/>
      <c r="C49" s="114"/>
      <c r="D49" s="21" t="s">
        <v>63</v>
      </c>
      <c r="E49" s="23">
        <f>E48</f>
        <v>120000</v>
      </c>
      <c r="F49" s="23">
        <f>E49+F48</f>
        <v>239999.99999999997</v>
      </c>
      <c r="G49" s="23">
        <f t="shared" ref="G49:N49" si="23">F49+G48</f>
        <v>359999.99999999994</v>
      </c>
      <c r="H49" s="23">
        <f t="shared" si="23"/>
        <v>479999.99999999994</v>
      </c>
      <c r="I49" s="23">
        <f t="shared" si="23"/>
        <v>600000</v>
      </c>
      <c r="J49" s="23">
        <f t="shared" si="23"/>
        <v>720000.00000000047</v>
      </c>
      <c r="K49" s="23">
        <f t="shared" si="23"/>
        <v>840000.00000000023</v>
      </c>
      <c r="L49" s="23">
        <f t="shared" si="23"/>
        <v>960000.00000000035</v>
      </c>
      <c r="M49" s="23">
        <f t="shared" si="23"/>
        <v>1080000</v>
      </c>
      <c r="N49" s="23">
        <f t="shared" si="23"/>
        <v>1200000</v>
      </c>
      <c r="R49" s="13"/>
    </row>
    <row r="50" spans="2:18" ht="15" customHeight="1" x14ac:dyDescent="0.45">
      <c r="B50" s="114"/>
      <c r="C50" s="115" t="s">
        <v>47</v>
      </c>
      <c r="D50" s="17" t="s">
        <v>58</v>
      </c>
      <c r="E50" s="18">
        <f>E44*E$15/$E$4</f>
        <v>0.12</v>
      </c>
      <c r="F50" s="18">
        <f>F44*F$15/$E$4-E50</f>
        <v>0.35099999999999992</v>
      </c>
      <c r="G50" s="18">
        <f>G44*G$15/$E$4-F50-E50</f>
        <v>0.45630000000000004</v>
      </c>
      <c r="H50" s="18">
        <f>H44*H$15/$E$4-G50-F50-E50</f>
        <v>0.59319000000000044</v>
      </c>
      <c r="I50" s="18">
        <f>I44*I$15/$E$4-H50-G50-F50-E50</f>
        <v>0.77114699999999969</v>
      </c>
      <c r="J50" s="18">
        <f>J44*J$15/$E$4-I50-H50-G50-F50-E50</f>
        <v>1.0024911000000003</v>
      </c>
      <c r="K50" s="18">
        <f>K44*K$15/$E$4-J50-I50-H50-G50-F50-E50</f>
        <v>1.3032384300000008</v>
      </c>
      <c r="L50" s="18">
        <f>L44*L$15/$E$4-K50-J50-I50-H50-G50-F50-E50</f>
        <v>1.6942099589999997</v>
      </c>
      <c r="M50" s="18">
        <f>M44*M$15/$E$4-L50-K50-J50-I50-H50-G50-F50-E50</f>
        <v>2.2024729466999982</v>
      </c>
      <c r="N50" s="18">
        <f>N44*N$15/$E$4-M50-L50-K50-J50-I50-H50-G50-F50-E50</f>
        <v>2.8632148307100005</v>
      </c>
      <c r="R50" s="13"/>
    </row>
    <row r="51" spans="2:18" ht="15" customHeight="1" x14ac:dyDescent="0.45">
      <c r="B51" s="114"/>
      <c r="C51" s="113"/>
      <c r="D51" s="17" t="s">
        <v>59</v>
      </c>
      <c r="E51" s="19"/>
      <c r="F51" s="19"/>
      <c r="G51" s="19"/>
      <c r="H51" s="19"/>
      <c r="I51" s="19">
        <f>SUM(E50:I50)/5</f>
        <v>0.45832740000000005</v>
      </c>
      <c r="J51" s="19"/>
      <c r="K51" s="19"/>
      <c r="L51" s="19"/>
      <c r="M51" s="19"/>
      <c r="N51" s="19">
        <f>SUM(E50:N50)/10</f>
        <v>1.1357264266409999</v>
      </c>
      <c r="R51" s="13"/>
    </row>
    <row r="52" spans="2:18" ht="15" customHeight="1" x14ac:dyDescent="0.45">
      <c r="B52" s="114"/>
      <c r="C52" s="114"/>
      <c r="D52" s="21" t="s">
        <v>62</v>
      </c>
      <c r="E52" s="24">
        <f>E54</f>
        <v>120000</v>
      </c>
      <c r="F52" s="24">
        <f>F54-E54</f>
        <v>350999.99999999994</v>
      </c>
      <c r="G52" s="24">
        <f t="shared" ref="G52:N52" si="24">G54-F54</f>
        <v>456300.00000000006</v>
      </c>
      <c r="H52" s="24">
        <f t="shared" si="24"/>
        <v>593190.00000000023</v>
      </c>
      <c r="I52" s="24">
        <f t="shared" si="24"/>
        <v>771146.99999999977</v>
      </c>
      <c r="J52" s="24">
        <f t="shared" si="24"/>
        <v>1002491.1000000001</v>
      </c>
      <c r="K52" s="24">
        <f t="shared" si="24"/>
        <v>1303238.4300000002</v>
      </c>
      <c r="L52" s="24">
        <f t="shared" si="24"/>
        <v>1694209.9590000007</v>
      </c>
      <c r="M52" s="24">
        <f t="shared" si="24"/>
        <v>2202472.9466999983</v>
      </c>
      <c r="N52" s="24">
        <f t="shared" si="24"/>
        <v>2863214.8307099994</v>
      </c>
      <c r="R52" s="13"/>
    </row>
    <row r="53" spans="2:18" ht="15" customHeight="1" x14ac:dyDescent="0.45">
      <c r="B53" s="114"/>
      <c r="C53" s="114"/>
      <c r="D53" s="21" t="s">
        <v>64</v>
      </c>
      <c r="E53" s="24"/>
      <c r="F53" s="24"/>
      <c r="G53" s="24"/>
      <c r="H53" s="24"/>
      <c r="I53" s="24">
        <f>SUM(E52:I52)/5</f>
        <v>458327.4</v>
      </c>
      <c r="J53" s="24"/>
      <c r="K53" s="24"/>
      <c r="L53" s="24"/>
      <c r="M53" s="24"/>
      <c r="N53" s="24">
        <f>SUM(E52:N52)/10</f>
        <v>1135726.426641</v>
      </c>
      <c r="R53" s="13"/>
    </row>
    <row r="54" spans="2:18" ht="15" customHeight="1" x14ac:dyDescent="0.45">
      <c r="B54" s="114"/>
      <c r="C54" s="114"/>
      <c r="D54" s="21" t="s">
        <v>63</v>
      </c>
      <c r="E54" s="23">
        <f t="shared" ref="E54:N54" si="25">E46*E$15</f>
        <v>120000</v>
      </c>
      <c r="F54" s="23">
        <f t="shared" si="25"/>
        <v>470999.99999999994</v>
      </c>
      <c r="G54" s="23">
        <f t="shared" si="25"/>
        <v>927300</v>
      </c>
      <c r="H54" s="23">
        <f t="shared" si="25"/>
        <v>1520490.0000000002</v>
      </c>
      <c r="I54" s="23">
        <f t="shared" si="25"/>
        <v>2291637</v>
      </c>
      <c r="J54" s="23">
        <f t="shared" si="25"/>
        <v>3294128.1</v>
      </c>
      <c r="K54" s="23">
        <f t="shared" si="25"/>
        <v>4597366.53</v>
      </c>
      <c r="L54" s="23">
        <f t="shared" si="25"/>
        <v>6291576.489000001</v>
      </c>
      <c r="M54" s="23">
        <f t="shared" si="25"/>
        <v>8494049.4356999993</v>
      </c>
      <c r="N54" s="23">
        <f t="shared" si="25"/>
        <v>11357264.266409999</v>
      </c>
      <c r="R54" s="13"/>
    </row>
    <row r="55" spans="2:18" ht="15" customHeight="1" x14ac:dyDescent="0.45">
      <c r="B55" s="114" t="s">
        <v>17</v>
      </c>
      <c r="C55" s="113" t="s">
        <v>43</v>
      </c>
      <c r="D55" s="17" t="s">
        <v>58</v>
      </c>
      <c r="E55" s="18">
        <f>E$21*$D40</f>
        <v>1.8000000000000002E-2</v>
      </c>
      <c r="F55" s="18">
        <f t="shared" ref="F55:N55" si="26">F$21*$D40</f>
        <v>1.8000000000000002E-2</v>
      </c>
      <c r="G55" s="18">
        <f t="shared" si="26"/>
        <v>1.8000000000000002E-2</v>
      </c>
      <c r="H55" s="18">
        <f t="shared" si="26"/>
        <v>1.8000000000000002E-2</v>
      </c>
      <c r="I55" s="18">
        <f t="shared" si="26"/>
        <v>1.8000000000000002E-2</v>
      </c>
      <c r="J55" s="18">
        <f t="shared" si="26"/>
        <v>1.8000000000000002E-2</v>
      </c>
      <c r="K55" s="18">
        <f t="shared" si="26"/>
        <v>1.8000000000000002E-2</v>
      </c>
      <c r="L55" s="18">
        <f t="shared" si="26"/>
        <v>1.8000000000000002E-2</v>
      </c>
      <c r="M55" s="18">
        <f t="shared" si="26"/>
        <v>1.8000000000000002E-2</v>
      </c>
      <c r="N55" s="18">
        <f t="shared" si="26"/>
        <v>1.8000000000000002E-2</v>
      </c>
      <c r="R55" s="13"/>
    </row>
    <row r="56" spans="2:18" ht="15" customHeight="1" x14ac:dyDescent="0.45">
      <c r="B56" s="114"/>
      <c r="C56" s="113"/>
      <c r="D56" s="17" t="s">
        <v>56</v>
      </c>
      <c r="E56" s="18">
        <f>E$22*$D40</f>
        <v>1.8000000000000002E-2</v>
      </c>
      <c r="F56" s="18">
        <f t="shared" ref="F56:N56" si="27">F$22*$D40</f>
        <v>3.6000000000000004E-2</v>
      </c>
      <c r="G56" s="18">
        <f t="shared" si="27"/>
        <v>5.3999999999999999E-2</v>
      </c>
      <c r="H56" s="18">
        <f t="shared" si="27"/>
        <v>7.2000000000000008E-2</v>
      </c>
      <c r="I56" s="18">
        <f t="shared" si="27"/>
        <v>9.0000000000000011E-2</v>
      </c>
      <c r="J56" s="18">
        <f t="shared" si="27"/>
        <v>0.10800000000000001</v>
      </c>
      <c r="K56" s="18">
        <f t="shared" si="27"/>
        <v>0.12600000000000003</v>
      </c>
      <c r="L56" s="18">
        <f t="shared" si="27"/>
        <v>0.14400000000000002</v>
      </c>
      <c r="M56" s="18">
        <f t="shared" si="27"/>
        <v>0.16200000000000001</v>
      </c>
      <c r="N56" s="18">
        <f t="shared" si="27"/>
        <v>0.18</v>
      </c>
      <c r="R56" s="13"/>
    </row>
    <row r="57" spans="2:18" ht="15" customHeight="1" x14ac:dyDescent="0.45">
      <c r="B57" s="114"/>
      <c r="C57" s="114"/>
      <c r="D57" s="21" t="s">
        <v>62</v>
      </c>
      <c r="E57" s="22">
        <f>10*E55</f>
        <v>0.18000000000000002</v>
      </c>
      <c r="F57" s="22">
        <f t="shared" ref="F57:N58" si="28">10*F55</f>
        <v>0.18000000000000002</v>
      </c>
      <c r="G57" s="22">
        <f t="shared" si="28"/>
        <v>0.18000000000000002</v>
      </c>
      <c r="H57" s="22">
        <f t="shared" si="28"/>
        <v>0.18000000000000002</v>
      </c>
      <c r="I57" s="22">
        <f t="shared" si="28"/>
        <v>0.18000000000000002</v>
      </c>
      <c r="J57" s="22">
        <f t="shared" si="28"/>
        <v>0.18000000000000002</v>
      </c>
      <c r="K57" s="22">
        <f t="shared" si="28"/>
        <v>0.18000000000000002</v>
      </c>
      <c r="L57" s="22">
        <f t="shared" si="28"/>
        <v>0.18000000000000002</v>
      </c>
      <c r="M57" s="22">
        <f t="shared" si="28"/>
        <v>0.18000000000000002</v>
      </c>
      <c r="N57" s="22">
        <f t="shared" si="28"/>
        <v>0.18000000000000002</v>
      </c>
      <c r="R57" s="13"/>
    </row>
    <row r="58" spans="2:18" ht="15" customHeight="1" x14ac:dyDescent="0.45">
      <c r="B58" s="114"/>
      <c r="C58" s="114"/>
      <c r="D58" s="21" t="s">
        <v>63</v>
      </c>
      <c r="E58" s="22">
        <f>10*E56</f>
        <v>0.18000000000000002</v>
      </c>
      <c r="F58" s="22">
        <f t="shared" si="28"/>
        <v>0.36000000000000004</v>
      </c>
      <c r="G58" s="22">
        <f t="shared" si="28"/>
        <v>0.54</v>
      </c>
      <c r="H58" s="22">
        <f t="shared" si="28"/>
        <v>0.72000000000000008</v>
      </c>
      <c r="I58" s="22">
        <f t="shared" si="28"/>
        <v>0.90000000000000013</v>
      </c>
      <c r="J58" s="22">
        <f t="shared" si="28"/>
        <v>1.08</v>
      </c>
      <c r="K58" s="22">
        <f t="shared" si="28"/>
        <v>1.2600000000000002</v>
      </c>
      <c r="L58" s="22">
        <f t="shared" si="28"/>
        <v>1.4400000000000002</v>
      </c>
      <c r="M58" s="22">
        <f t="shared" si="28"/>
        <v>1.62</v>
      </c>
      <c r="N58" s="22">
        <f t="shared" si="28"/>
        <v>1.7999999999999998</v>
      </c>
    </row>
    <row r="59" spans="2:18" ht="15" customHeight="1" x14ac:dyDescent="0.45">
      <c r="B59" s="114"/>
      <c r="C59" s="115" t="s">
        <v>48</v>
      </c>
      <c r="D59" s="17" t="s">
        <v>58</v>
      </c>
      <c r="E59" s="18">
        <f>E55*E$15/$E$4</f>
        <v>2.3400000000000004E-2</v>
      </c>
      <c r="F59" s="18">
        <f t="shared" ref="F59:N59" si="29">F55*F$15/$E$4</f>
        <v>3.0420000000000006E-2</v>
      </c>
      <c r="G59" s="18">
        <f t="shared" si="29"/>
        <v>3.9546000000000005E-2</v>
      </c>
      <c r="H59" s="18">
        <f t="shared" si="29"/>
        <v>5.1409800000000005E-2</v>
      </c>
      <c r="I59" s="18">
        <f t="shared" si="29"/>
        <v>6.6832740000000002E-2</v>
      </c>
      <c r="J59" s="18">
        <f t="shared" si="29"/>
        <v>8.688256200000001E-2</v>
      </c>
      <c r="K59" s="18">
        <f t="shared" si="29"/>
        <v>0.11294733060000002</v>
      </c>
      <c r="L59" s="18">
        <f t="shared" si="29"/>
        <v>0.14683152978000003</v>
      </c>
      <c r="M59" s="18">
        <f t="shared" si="29"/>
        <v>0.19088098871400005</v>
      </c>
      <c r="N59" s="18">
        <f t="shared" si="29"/>
        <v>0.24814528532820004</v>
      </c>
    </row>
    <row r="60" spans="2:18" ht="15" customHeight="1" x14ac:dyDescent="0.45">
      <c r="B60" s="114"/>
      <c r="C60" s="113"/>
      <c r="D60" s="17" t="s">
        <v>59</v>
      </c>
      <c r="E60" s="18"/>
      <c r="F60" s="18"/>
      <c r="G60" s="18"/>
      <c r="H60" s="18"/>
      <c r="I60" s="19">
        <f>SUM(E59:I59)/5</f>
        <v>4.2321708E-2</v>
      </c>
      <c r="J60" s="19"/>
      <c r="K60" s="19"/>
      <c r="L60" s="19"/>
      <c r="M60" s="19"/>
      <c r="N60" s="19">
        <f>SUM(E59:N59)/10</f>
        <v>9.9729623642220017E-2</v>
      </c>
    </row>
    <row r="61" spans="2:18" ht="15" customHeight="1" x14ac:dyDescent="0.45">
      <c r="B61" s="114"/>
      <c r="C61" s="114"/>
      <c r="D61" s="21" t="s">
        <v>62</v>
      </c>
      <c r="E61" s="25">
        <f t="shared" ref="E61:N61" si="30">E57*E$15</f>
        <v>23400.000000000004</v>
      </c>
      <c r="F61" s="25">
        <f t="shared" si="30"/>
        <v>30420.000000000004</v>
      </c>
      <c r="G61" s="25">
        <f t="shared" si="30"/>
        <v>39546.000000000007</v>
      </c>
      <c r="H61" s="25">
        <f t="shared" si="30"/>
        <v>51409.8</v>
      </c>
      <c r="I61" s="25">
        <f t="shared" si="30"/>
        <v>66832.740000000005</v>
      </c>
      <c r="J61" s="25">
        <f t="shared" si="30"/>
        <v>86882.56200000002</v>
      </c>
      <c r="K61" s="25">
        <f t="shared" si="30"/>
        <v>112947.33060000002</v>
      </c>
      <c r="L61" s="25">
        <f t="shared" si="30"/>
        <v>146831.52978000001</v>
      </c>
      <c r="M61" s="25">
        <f t="shared" si="30"/>
        <v>190880.98871400004</v>
      </c>
      <c r="N61" s="25">
        <f t="shared" si="30"/>
        <v>248145.28532820003</v>
      </c>
    </row>
    <row r="62" spans="2:18" ht="15" customHeight="1" x14ac:dyDescent="0.45">
      <c r="B62" s="114"/>
      <c r="C62" s="114"/>
      <c r="D62" s="21" t="s">
        <v>64</v>
      </c>
      <c r="E62" s="26"/>
      <c r="F62" s="26"/>
      <c r="G62" s="26"/>
      <c r="H62" s="26"/>
      <c r="I62" s="25">
        <f>SUM(E61:I61)/5</f>
        <v>42321.708000000006</v>
      </c>
      <c r="J62" s="25"/>
      <c r="K62" s="25"/>
      <c r="L62" s="25"/>
      <c r="M62" s="25"/>
      <c r="N62" s="25">
        <f>SUM(E61:N61)/10</f>
        <v>99729.623642220016</v>
      </c>
    </row>
    <row r="63" spans="2:18" ht="15" customHeight="1" x14ac:dyDescent="0.45">
      <c r="B63" s="114"/>
      <c r="C63" s="114"/>
      <c r="D63" s="21" t="s">
        <v>63</v>
      </c>
      <c r="E63" s="26">
        <f>E61</f>
        <v>23400.000000000004</v>
      </c>
      <c r="F63" s="26">
        <f t="shared" ref="F63:N63" si="31">E63+F61</f>
        <v>53820.000000000007</v>
      </c>
      <c r="G63" s="26">
        <f t="shared" si="31"/>
        <v>93366.000000000015</v>
      </c>
      <c r="H63" s="26">
        <f t="shared" si="31"/>
        <v>144775.80000000002</v>
      </c>
      <c r="I63" s="26">
        <f t="shared" si="31"/>
        <v>211608.54000000004</v>
      </c>
      <c r="J63" s="26">
        <f t="shared" si="31"/>
        <v>298491.10200000007</v>
      </c>
      <c r="K63" s="26">
        <f t="shared" si="31"/>
        <v>411438.43260000006</v>
      </c>
      <c r="L63" s="26">
        <f t="shared" si="31"/>
        <v>558269.96238000004</v>
      </c>
      <c r="M63" s="26">
        <f t="shared" si="31"/>
        <v>749150.95109400013</v>
      </c>
      <c r="N63" s="26">
        <f t="shared" si="31"/>
        <v>997296.23642220022</v>
      </c>
    </row>
    <row r="64" spans="2:18" ht="15" customHeight="1" x14ac:dyDescent="0.45">
      <c r="B64" s="114"/>
      <c r="C64" s="115" t="s">
        <v>47</v>
      </c>
      <c r="D64" s="17" t="s">
        <v>58</v>
      </c>
      <c r="E64" s="18">
        <f>E56*E$15/$E$4</f>
        <v>2.3400000000000004E-2</v>
      </c>
      <c r="F64" s="18">
        <f>F56*F$15/$E$4-E64</f>
        <v>3.7440000000000008E-2</v>
      </c>
      <c r="G64" s="18">
        <f>G56*G$15/$E$4-F64-E64</f>
        <v>5.7797999999999988E-2</v>
      </c>
      <c r="H64" s="18">
        <f>H56*H$15/$E$4-G64-F64-E64</f>
        <v>8.7001200000000029E-2</v>
      </c>
      <c r="I64" s="18">
        <f>I56*I$15/$E$4-H64-G64-F64-E64</f>
        <v>0.12852449999999999</v>
      </c>
      <c r="J64" s="18">
        <f>J56*J$15/$E$4-I64-H64-G64-F64-E64</f>
        <v>0.18713167200000005</v>
      </c>
      <c r="K64" s="18">
        <f>K56*K$15/$E$4-J64-I64-H64-G64-F64-E64</f>
        <v>0.26933594220000012</v>
      </c>
      <c r="L64" s="18">
        <f>L56*L$15/$E$4-K64-J64-I64-H64-G64-F64-E64</f>
        <v>0.3840209240400001</v>
      </c>
      <c r="M64" s="18">
        <f>M56*M$15/$E$4-L64-K64-J64-I64-H64-G64-F64-E64</f>
        <v>0.54327666018599996</v>
      </c>
      <c r="N64" s="18">
        <f>N56*N$15/$E$4-M64-L64-K64-J64-I64-H64-G64-F64-E64</f>
        <v>0.763523954856</v>
      </c>
    </row>
    <row r="65" spans="2:14" ht="15" customHeight="1" x14ac:dyDescent="0.45">
      <c r="B65" s="114"/>
      <c r="C65" s="113"/>
      <c r="D65" s="17" t="s">
        <v>59</v>
      </c>
      <c r="E65" s="19"/>
      <c r="F65" s="19"/>
      <c r="G65" s="19"/>
      <c r="H65" s="19"/>
      <c r="I65" s="19">
        <f>SUM(E64:I64)/5</f>
        <v>6.6832740000000002E-2</v>
      </c>
      <c r="J65" s="19"/>
      <c r="K65" s="19"/>
      <c r="L65" s="19"/>
      <c r="M65" s="19"/>
      <c r="N65" s="19">
        <f>SUM(E64:N64)/10</f>
        <v>0.24814528532820002</v>
      </c>
    </row>
    <row r="66" spans="2:14" ht="15" customHeight="1" x14ac:dyDescent="0.45">
      <c r="B66" s="114"/>
      <c r="C66" s="114"/>
      <c r="D66" s="21" t="s">
        <v>62</v>
      </c>
      <c r="E66" s="25">
        <f>E68</f>
        <v>23400.000000000004</v>
      </c>
      <c r="F66" s="25">
        <f>F68-E68</f>
        <v>37440</v>
      </c>
      <c r="G66" s="25">
        <f>G68-F68</f>
        <v>57798.000000000007</v>
      </c>
      <c r="H66" s="25">
        <f t="shared" ref="H66:N66" si="32">H68-G68</f>
        <v>87001.2</v>
      </c>
      <c r="I66" s="25">
        <f t="shared" si="32"/>
        <v>128524.50000000006</v>
      </c>
      <c r="J66" s="25">
        <f t="shared" si="32"/>
        <v>187131.67199999996</v>
      </c>
      <c r="K66" s="25">
        <f t="shared" si="32"/>
        <v>269335.94220000022</v>
      </c>
      <c r="L66" s="25">
        <f t="shared" si="32"/>
        <v>384020.92403999984</v>
      </c>
      <c r="M66" s="25">
        <f t="shared" si="32"/>
        <v>543276.66018600017</v>
      </c>
      <c r="N66" s="25">
        <f t="shared" si="32"/>
        <v>763523.95485599968</v>
      </c>
    </row>
    <row r="67" spans="2:14" ht="15" customHeight="1" x14ac:dyDescent="0.45">
      <c r="B67" s="114"/>
      <c r="C67" s="114"/>
      <c r="D67" s="21" t="s">
        <v>64</v>
      </c>
      <c r="E67" s="25"/>
      <c r="F67" s="25"/>
      <c r="G67" s="25"/>
      <c r="H67" s="25"/>
      <c r="I67" s="25">
        <f>SUM(E66:I66)/5</f>
        <v>66832.74000000002</v>
      </c>
      <c r="J67" s="25"/>
      <c r="K67" s="25"/>
      <c r="L67" s="25"/>
      <c r="M67" s="25"/>
      <c r="N67" s="25">
        <f>SUM(E66:N66)/10</f>
        <v>248145.2853282</v>
      </c>
    </row>
    <row r="68" spans="2:14" ht="15" customHeight="1" x14ac:dyDescent="0.45">
      <c r="B68" s="114"/>
      <c r="C68" s="114"/>
      <c r="D68" s="21" t="s">
        <v>63</v>
      </c>
      <c r="E68" s="26">
        <f t="shared" ref="E68:N68" si="33">E58*E$15</f>
        <v>23400.000000000004</v>
      </c>
      <c r="F68" s="26">
        <f t="shared" si="33"/>
        <v>60840.000000000007</v>
      </c>
      <c r="G68" s="26">
        <f t="shared" si="33"/>
        <v>118638.00000000001</v>
      </c>
      <c r="H68" s="26">
        <f t="shared" si="33"/>
        <v>205639.2</v>
      </c>
      <c r="I68" s="26">
        <f t="shared" si="33"/>
        <v>334163.70000000007</v>
      </c>
      <c r="J68" s="26">
        <f t="shared" si="33"/>
        <v>521295.37200000003</v>
      </c>
      <c r="K68" s="26">
        <f t="shared" si="33"/>
        <v>790631.31420000026</v>
      </c>
      <c r="L68" s="26">
        <f t="shared" si="33"/>
        <v>1174652.2382400001</v>
      </c>
      <c r="M68" s="26">
        <f t="shared" si="33"/>
        <v>1717928.8984260003</v>
      </c>
      <c r="N68" s="26">
        <f t="shared" si="33"/>
        <v>2481452.8532819999</v>
      </c>
    </row>
    <row r="69" spans="2:14" ht="15" customHeight="1" x14ac:dyDescent="0.45">
      <c r="B69" s="114" t="s">
        <v>18</v>
      </c>
      <c r="C69" s="113" t="s">
        <v>43</v>
      </c>
      <c r="D69" s="17" t="s">
        <v>58</v>
      </c>
      <c r="E69" s="18">
        <f>E42+E55</f>
        <v>0.11030769230769231</v>
      </c>
      <c r="F69" s="18">
        <f t="shared" ref="F69:N69" si="34">F42+F55</f>
        <v>8.9005917159763304E-2</v>
      </c>
      <c r="G69" s="18">
        <f t="shared" si="34"/>
        <v>7.2619936276740987E-2</v>
      </c>
      <c r="H69" s="18">
        <f t="shared" si="34"/>
        <v>6.0015335597493086E-2</v>
      </c>
      <c r="I69" s="18">
        <f t="shared" si="34"/>
        <v>5.0319488921148549E-2</v>
      </c>
      <c r="J69" s="18">
        <f t="shared" si="34"/>
        <v>4.2861145323960494E-2</v>
      </c>
      <c r="K69" s="18">
        <f t="shared" si="34"/>
        <v>3.7123957941507968E-2</v>
      </c>
      <c r="L69" s="18">
        <f t="shared" si="34"/>
        <v>3.2710736878083096E-2</v>
      </c>
      <c r="M69" s="18">
        <f t="shared" si="34"/>
        <v>2.9315951444679252E-2</v>
      </c>
      <c r="N69" s="18">
        <f t="shared" si="34"/>
        <v>2.6704578034368681E-2</v>
      </c>
    </row>
    <row r="70" spans="2:14" ht="15" customHeight="1" x14ac:dyDescent="0.45">
      <c r="B70" s="114"/>
      <c r="C70" s="113"/>
      <c r="D70" s="17" t="s">
        <v>59</v>
      </c>
      <c r="E70" s="18"/>
      <c r="F70" s="18"/>
      <c r="G70" s="18"/>
      <c r="H70" s="18"/>
      <c r="I70" s="44">
        <f>SUM(E69:I69)/5</f>
        <v>7.6453674052567644E-2</v>
      </c>
      <c r="J70" s="18"/>
      <c r="K70" s="18"/>
      <c r="L70" s="18"/>
      <c r="M70" s="18"/>
      <c r="N70" s="19">
        <f>SUM(E69:N69)/10</f>
        <v>5.509847398854377E-2</v>
      </c>
    </row>
    <row r="71" spans="2:14" ht="15" customHeight="1" x14ac:dyDescent="0.45">
      <c r="B71" s="114"/>
      <c r="C71" s="113"/>
      <c r="D71" s="17" t="s">
        <v>56</v>
      </c>
      <c r="E71" s="18">
        <f>E44+E56</f>
        <v>0.11030769230769231</v>
      </c>
      <c r="F71" s="18">
        <f t="shared" ref="F71:N71" si="35">F44+F56</f>
        <v>0.314698224852071</v>
      </c>
      <c r="G71" s="18">
        <f t="shared" si="35"/>
        <v>0.47607555757851611</v>
      </c>
      <c r="H71" s="18">
        <f t="shared" si="35"/>
        <v>0.60436581352193564</v>
      </c>
      <c r="I71" s="18">
        <f t="shared" si="35"/>
        <v>0.7072044719399504</v>
      </c>
      <c r="J71" s="18">
        <f t="shared" si="35"/>
        <v>0.79046497841534646</v>
      </c>
      <c r="K71" s="18">
        <f t="shared" si="35"/>
        <v>0.85866536801180504</v>
      </c>
      <c r="L71" s="18">
        <f t="shared" si="35"/>
        <v>0.91528105231677315</v>
      </c>
      <c r="M71" s="18">
        <f t="shared" si="35"/>
        <v>0.96298542485905614</v>
      </c>
      <c r="N71" s="18">
        <f t="shared" si="35"/>
        <v>1.0038349421992738</v>
      </c>
    </row>
    <row r="72" spans="2:14" ht="15" customHeight="1" x14ac:dyDescent="0.45">
      <c r="B72" s="114"/>
      <c r="C72" s="114"/>
      <c r="D72" s="21" t="s">
        <v>62</v>
      </c>
      <c r="E72" s="22">
        <f>10*E69</f>
        <v>1.1030769230769231</v>
      </c>
      <c r="F72" s="22">
        <f t="shared" ref="F72:N72" si="36">10*F69</f>
        <v>0.89005917159763304</v>
      </c>
      <c r="G72" s="22">
        <f t="shared" si="36"/>
        <v>0.72619936276740993</v>
      </c>
      <c r="H72" s="22">
        <f t="shared" si="36"/>
        <v>0.6001533559749308</v>
      </c>
      <c r="I72" s="22">
        <f t="shared" si="36"/>
        <v>0.50319488921148547</v>
      </c>
      <c r="J72" s="22">
        <f t="shared" si="36"/>
        <v>0.42861145323960492</v>
      </c>
      <c r="K72" s="22">
        <f t="shared" si="36"/>
        <v>0.37123957941507968</v>
      </c>
      <c r="L72" s="22">
        <f t="shared" si="36"/>
        <v>0.32710736878083096</v>
      </c>
      <c r="M72" s="22">
        <f t="shared" si="36"/>
        <v>0.2931595144467925</v>
      </c>
      <c r="N72" s="22">
        <f t="shared" si="36"/>
        <v>0.26704578034368681</v>
      </c>
    </row>
    <row r="73" spans="2:14" ht="15" customHeight="1" x14ac:dyDescent="0.45">
      <c r="B73" s="114"/>
      <c r="C73" s="114"/>
      <c r="D73" s="21" t="s">
        <v>63</v>
      </c>
      <c r="E73" s="22">
        <f>10*E71</f>
        <v>1.1030769230769231</v>
      </c>
      <c r="F73" s="22">
        <f>10*F71</f>
        <v>3.1469822485207102</v>
      </c>
      <c r="G73" s="22">
        <f>10*G71</f>
        <v>4.7607555757851614</v>
      </c>
      <c r="H73" s="22">
        <f t="shared" ref="H73:N73" si="37">10*H71</f>
        <v>6.0436581352193564</v>
      </c>
      <c r="I73" s="22">
        <f t="shared" si="37"/>
        <v>7.0720447193995035</v>
      </c>
      <c r="J73" s="22">
        <f t="shared" si="37"/>
        <v>7.9046497841534649</v>
      </c>
      <c r="K73" s="22">
        <f t="shared" si="37"/>
        <v>8.5866536801180509</v>
      </c>
      <c r="L73" s="22">
        <f t="shared" si="37"/>
        <v>9.1528105231677319</v>
      </c>
      <c r="M73" s="22">
        <f t="shared" si="37"/>
        <v>9.6298542485905614</v>
      </c>
      <c r="N73" s="22">
        <f t="shared" si="37"/>
        <v>10.038349421992738</v>
      </c>
    </row>
    <row r="74" spans="2:14" ht="15" customHeight="1" x14ac:dyDescent="0.45">
      <c r="B74" s="114"/>
      <c r="C74" s="115" t="s">
        <v>48</v>
      </c>
      <c r="D74" s="17" t="s">
        <v>58</v>
      </c>
      <c r="E74" s="18">
        <f>E47+E59</f>
        <v>0.1434</v>
      </c>
      <c r="F74" s="18">
        <f t="shared" ref="F74:N74" si="38">F47+F59</f>
        <v>0.15042</v>
      </c>
      <c r="G74" s="18">
        <f t="shared" si="38"/>
        <v>0.15954599999999994</v>
      </c>
      <c r="H74" s="18">
        <f t="shared" si="38"/>
        <v>0.1714098</v>
      </c>
      <c r="I74" s="18">
        <f t="shared" si="38"/>
        <v>0.18683274000000008</v>
      </c>
      <c r="J74" s="18">
        <f t="shared" si="38"/>
        <v>0.20688256200000044</v>
      </c>
      <c r="K74" s="18">
        <f t="shared" si="38"/>
        <v>0.23294733059999978</v>
      </c>
      <c r="L74" s="18">
        <f t="shared" si="38"/>
        <v>0.26683152978000013</v>
      </c>
      <c r="M74" s="18">
        <f t="shared" si="38"/>
        <v>0.31088098871399961</v>
      </c>
      <c r="N74" s="18">
        <f t="shared" si="38"/>
        <v>0.3681452853281999</v>
      </c>
    </row>
    <row r="75" spans="2:14" ht="15" customHeight="1" x14ac:dyDescent="0.45">
      <c r="B75" s="114"/>
      <c r="C75" s="113"/>
      <c r="D75" s="17" t="s">
        <v>59</v>
      </c>
      <c r="E75" s="18"/>
      <c r="F75" s="18"/>
      <c r="G75" s="18"/>
      <c r="H75" s="18"/>
      <c r="I75" s="19">
        <f>SUM(E74:I74)/5</f>
        <v>0.16232170799999998</v>
      </c>
      <c r="J75" s="19"/>
      <c r="K75" s="19"/>
      <c r="L75" s="19"/>
      <c r="M75" s="19"/>
      <c r="N75" s="19">
        <f>SUM(E74:N74)/10</f>
        <v>0.21972962364221998</v>
      </c>
    </row>
    <row r="76" spans="2:14" ht="15" customHeight="1" x14ac:dyDescent="0.45">
      <c r="B76" s="114"/>
      <c r="C76" s="114"/>
      <c r="D76" s="21" t="s">
        <v>62</v>
      </c>
      <c r="E76" s="24">
        <f t="shared" ref="E76:N76" si="39">E72*E$15</f>
        <v>143400</v>
      </c>
      <c r="F76" s="24">
        <f t="shared" si="39"/>
        <v>150419.99999999997</v>
      </c>
      <c r="G76" s="24">
        <f t="shared" si="39"/>
        <v>159545.99999999997</v>
      </c>
      <c r="H76" s="24">
        <f t="shared" si="39"/>
        <v>171409.8</v>
      </c>
      <c r="I76" s="24">
        <f t="shared" si="39"/>
        <v>186832.74000000008</v>
      </c>
      <c r="J76" s="24">
        <f t="shared" si="39"/>
        <v>206882.56200000044</v>
      </c>
      <c r="K76" s="24">
        <f t="shared" si="39"/>
        <v>232947.33059999978</v>
      </c>
      <c r="L76" s="24">
        <f t="shared" si="39"/>
        <v>266831.52978000016</v>
      </c>
      <c r="M76" s="24">
        <f t="shared" si="39"/>
        <v>310880.98871399957</v>
      </c>
      <c r="N76" s="24">
        <f t="shared" si="39"/>
        <v>368145.28532819997</v>
      </c>
    </row>
    <row r="77" spans="2:14" ht="15" customHeight="1" x14ac:dyDescent="0.45">
      <c r="B77" s="114"/>
      <c r="C77" s="114"/>
      <c r="D77" s="21" t="s">
        <v>64</v>
      </c>
      <c r="E77" s="23"/>
      <c r="F77" s="23"/>
      <c r="G77" s="23"/>
      <c r="H77" s="23"/>
      <c r="I77" s="24">
        <f>SUM(E76:I76)/5</f>
        <v>162321.70800000004</v>
      </c>
      <c r="J77" s="24"/>
      <c r="K77" s="24"/>
      <c r="L77" s="24"/>
      <c r="M77" s="24"/>
      <c r="N77" s="24">
        <f>SUM(E76:N76)/10</f>
        <v>219729.62364222002</v>
      </c>
    </row>
    <row r="78" spans="2:14" ht="15" customHeight="1" x14ac:dyDescent="0.45">
      <c r="B78" s="114"/>
      <c r="C78" s="114"/>
      <c r="D78" s="21" t="s">
        <v>63</v>
      </c>
      <c r="E78" s="23">
        <f>E76</f>
        <v>143400</v>
      </c>
      <c r="F78" s="23">
        <f t="shared" ref="F78:N78" si="40">E78+F76</f>
        <v>293820</v>
      </c>
      <c r="G78" s="23">
        <f t="shared" si="40"/>
        <v>453366</v>
      </c>
      <c r="H78" s="23">
        <f t="shared" si="40"/>
        <v>624775.80000000005</v>
      </c>
      <c r="I78" s="23">
        <f t="shared" si="40"/>
        <v>811608.54000000015</v>
      </c>
      <c r="J78" s="23">
        <f t="shared" si="40"/>
        <v>1018491.1020000007</v>
      </c>
      <c r="K78" s="23">
        <f t="shared" si="40"/>
        <v>1251438.4326000004</v>
      </c>
      <c r="L78" s="23">
        <f t="shared" si="40"/>
        <v>1518269.9623800006</v>
      </c>
      <c r="M78" s="23">
        <f t="shared" si="40"/>
        <v>1829150.9510940001</v>
      </c>
      <c r="N78" s="23">
        <f t="shared" si="40"/>
        <v>2197296.2364222002</v>
      </c>
    </row>
    <row r="79" spans="2:14" ht="15" customHeight="1" x14ac:dyDescent="0.45">
      <c r="B79" s="114"/>
      <c r="C79" s="115" t="s">
        <v>47</v>
      </c>
      <c r="D79" s="17" t="s">
        <v>58</v>
      </c>
      <c r="E79" s="18">
        <f>E50+E64</f>
        <v>0.1434</v>
      </c>
      <c r="F79" s="18">
        <f t="shared" ref="F79:N79" si="41">F50+F64</f>
        <v>0.38843999999999995</v>
      </c>
      <c r="G79" s="18">
        <f t="shared" si="41"/>
        <v>0.51409800000000005</v>
      </c>
      <c r="H79" s="18">
        <f t="shared" si="41"/>
        <v>0.68019120000000044</v>
      </c>
      <c r="I79" s="18">
        <f t="shared" si="41"/>
        <v>0.89967149999999974</v>
      </c>
      <c r="J79" s="18">
        <f t="shared" si="41"/>
        <v>1.1896227720000003</v>
      </c>
      <c r="K79" s="18">
        <f t="shared" si="41"/>
        <v>1.572574372200001</v>
      </c>
      <c r="L79" s="18">
        <f t="shared" si="41"/>
        <v>2.0782308830399998</v>
      </c>
      <c r="M79" s="18">
        <f t="shared" si="41"/>
        <v>2.7457496068859983</v>
      </c>
      <c r="N79" s="18">
        <f t="shared" si="41"/>
        <v>3.6267387855660003</v>
      </c>
    </row>
    <row r="80" spans="2:14" ht="15" customHeight="1" x14ac:dyDescent="0.45">
      <c r="B80" s="114"/>
      <c r="C80" s="113"/>
      <c r="D80" s="17" t="s">
        <v>59</v>
      </c>
      <c r="E80" s="19"/>
      <c r="F80" s="19"/>
      <c r="G80" s="19"/>
      <c r="H80" s="19"/>
      <c r="I80" s="19">
        <f>SUM(E79:I79)/5</f>
        <v>0.52516014</v>
      </c>
      <c r="J80" s="19"/>
      <c r="K80" s="19"/>
      <c r="L80" s="19"/>
      <c r="M80" s="19"/>
      <c r="N80" s="19">
        <f>SUM(E79:N79)/10</f>
        <v>1.3838717119691999</v>
      </c>
    </row>
    <row r="81" spans="1:18" ht="15" customHeight="1" x14ac:dyDescent="0.45">
      <c r="B81" s="114"/>
      <c r="C81" s="114"/>
      <c r="D81" s="21" t="s">
        <v>62</v>
      </c>
      <c r="E81" s="24">
        <f>E83</f>
        <v>143400</v>
      </c>
      <c r="F81" s="24">
        <f>F83-E83</f>
        <v>388440</v>
      </c>
      <c r="G81" s="24">
        <f>G83-F83</f>
        <v>514098</v>
      </c>
      <c r="H81" s="24">
        <f t="shared" ref="H81:N81" si="42">H83-G83</f>
        <v>680191.20000000042</v>
      </c>
      <c r="I81" s="24">
        <f t="shared" si="42"/>
        <v>899671.4999999993</v>
      </c>
      <c r="J81" s="24">
        <f t="shared" si="42"/>
        <v>1189622.7720000008</v>
      </c>
      <c r="K81" s="24">
        <f t="shared" si="42"/>
        <v>1572574.3722000006</v>
      </c>
      <c r="L81" s="24">
        <f t="shared" si="42"/>
        <v>2078230.8830400007</v>
      </c>
      <c r="M81" s="24">
        <f t="shared" si="42"/>
        <v>2745749.6068859994</v>
      </c>
      <c r="N81" s="24">
        <f t="shared" si="42"/>
        <v>3626738.7855659965</v>
      </c>
    </row>
    <row r="82" spans="1:18" ht="15" customHeight="1" x14ac:dyDescent="0.45">
      <c r="A82" s="9"/>
      <c r="B82" s="114"/>
      <c r="C82" s="114"/>
      <c r="D82" s="21" t="s">
        <v>64</v>
      </c>
      <c r="E82" s="24"/>
      <c r="F82" s="24"/>
      <c r="G82" s="24"/>
      <c r="H82" s="24"/>
      <c r="I82" s="24">
        <f>SUM(E81:I81)/5</f>
        <v>525160.1399999999</v>
      </c>
      <c r="J82" s="24"/>
      <c r="K82" s="24"/>
      <c r="L82" s="24"/>
      <c r="M82" s="24"/>
      <c r="N82" s="24">
        <f>SUM(E81:N81)/10</f>
        <v>1383871.7119691998</v>
      </c>
      <c r="O82" s="9"/>
    </row>
    <row r="83" spans="1:18" ht="15" customHeight="1" x14ac:dyDescent="0.45">
      <c r="B83" s="114"/>
      <c r="C83" s="114"/>
      <c r="D83" s="21" t="s">
        <v>63</v>
      </c>
      <c r="E83" s="23">
        <f t="shared" ref="E83:N83" si="43">E73*E$15</f>
        <v>143400</v>
      </c>
      <c r="F83" s="23">
        <f t="shared" si="43"/>
        <v>531840</v>
      </c>
      <c r="G83" s="23">
        <f t="shared" si="43"/>
        <v>1045938</v>
      </c>
      <c r="H83" s="23">
        <f t="shared" si="43"/>
        <v>1726129.2000000004</v>
      </c>
      <c r="I83" s="23">
        <f t="shared" si="43"/>
        <v>2625800.6999999997</v>
      </c>
      <c r="J83" s="23">
        <f t="shared" si="43"/>
        <v>3815423.4720000005</v>
      </c>
      <c r="K83" s="23">
        <f t="shared" si="43"/>
        <v>5387997.8442000011</v>
      </c>
      <c r="L83" s="23">
        <f t="shared" si="43"/>
        <v>7466228.7272400018</v>
      </c>
      <c r="M83" s="23">
        <f t="shared" si="43"/>
        <v>10211978.334126001</v>
      </c>
      <c r="N83" s="23">
        <f t="shared" si="43"/>
        <v>13838717.119691998</v>
      </c>
    </row>
    <row r="84" spans="1:18" s="5" customFormat="1" ht="15" customHeight="1" x14ac:dyDescent="0.45">
      <c r="B84" s="4"/>
      <c r="C84" s="1"/>
      <c r="D84" s="53"/>
      <c r="E84" s="36"/>
      <c r="F84" s="36"/>
      <c r="G84" s="36"/>
      <c r="H84" s="36"/>
      <c r="I84" s="36"/>
      <c r="J84" s="36"/>
      <c r="K84" s="36"/>
      <c r="L84" s="36"/>
      <c r="M84" s="36"/>
      <c r="N84" s="36"/>
      <c r="P84" s="2"/>
      <c r="Q84" s="2"/>
      <c r="R84" s="2"/>
    </row>
    <row r="85" spans="1:18" s="5" customFormat="1" ht="15" customHeight="1" x14ac:dyDescent="0.45">
      <c r="B85" s="118" t="s">
        <v>41</v>
      </c>
      <c r="C85" s="3" t="s">
        <v>35</v>
      </c>
      <c r="D85" s="58">
        <f>E9</f>
        <v>0.1</v>
      </c>
      <c r="E85" s="89" t="s">
        <v>3</v>
      </c>
      <c r="F85" s="89" t="s">
        <v>4</v>
      </c>
      <c r="G85" s="89" t="s">
        <v>5</v>
      </c>
      <c r="H85" s="89" t="s">
        <v>6</v>
      </c>
      <c r="I85" s="89" t="s">
        <v>7</v>
      </c>
      <c r="J85" s="89" t="s">
        <v>8</v>
      </c>
      <c r="K85" s="89" t="s">
        <v>9</v>
      </c>
      <c r="L85" s="89" t="s">
        <v>10</v>
      </c>
      <c r="M85" s="89" t="s">
        <v>11</v>
      </c>
      <c r="N85" s="89" t="s">
        <v>12</v>
      </c>
      <c r="P85" s="2"/>
      <c r="Q85" s="2"/>
      <c r="R85" s="2"/>
    </row>
    <row r="86" spans="1:18" s="5" customFormat="1" ht="15" customHeight="1" x14ac:dyDescent="0.45">
      <c r="B86" s="119"/>
      <c r="C86" s="47" t="s">
        <v>21</v>
      </c>
      <c r="D86" s="35" t="str">
        <f>"10 BTC / "&amp;TEXT($E$4*10, "$###0.00,,")&amp;"M USD"</f>
        <v>10 BTC / $1.00M USD</v>
      </c>
      <c r="E86" s="90"/>
      <c r="F86" s="90"/>
      <c r="G86" s="90"/>
      <c r="H86" s="90"/>
      <c r="I86" s="90"/>
      <c r="J86" s="90"/>
      <c r="K86" s="90"/>
      <c r="L86" s="90"/>
      <c r="M86" s="90"/>
      <c r="N86" s="90"/>
      <c r="P86" s="2"/>
      <c r="Q86" s="2"/>
      <c r="R86" s="2"/>
    </row>
    <row r="87" spans="1:18" s="5" customFormat="1" ht="15" customHeight="1" x14ac:dyDescent="0.45">
      <c r="B87" s="114" t="s">
        <v>16</v>
      </c>
      <c r="C87" s="113" t="s">
        <v>43</v>
      </c>
      <c r="D87" s="17" t="s">
        <v>58</v>
      </c>
      <c r="E87" s="18">
        <f>E$19*$D85</f>
        <v>2.3076923076923078E-2</v>
      </c>
      <c r="F87" s="18">
        <f t="shared" ref="F87:N87" si="44">F$19*$D85</f>
        <v>1.7751479289940825E-2</v>
      </c>
      <c r="G87" s="18">
        <f t="shared" si="44"/>
        <v>1.365498406918525E-2</v>
      </c>
      <c r="H87" s="18">
        <f t="shared" si="44"/>
        <v>1.0503833899373273E-2</v>
      </c>
      <c r="I87" s="18">
        <f t="shared" si="44"/>
        <v>8.0798722302871332E-3</v>
      </c>
      <c r="J87" s="18">
        <f t="shared" si="44"/>
        <v>6.2152863309901107E-3</v>
      </c>
      <c r="K87" s="18">
        <f t="shared" si="44"/>
        <v>4.7809894853769967E-3</v>
      </c>
      <c r="L87" s="18">
        <f t="shared" si="44"/>
        <v>3.6776842195207719E-3</v>
      </c>
      <c r="M87" s="18">
        <f t="shared" si="44"/>
        <v>2.8289878611698184E-3</v>
      </c>
      <c r="N87" s="18">
        <f t="shared" si="44"/>
        <v>2.1761445085921706E-3</v>
      </c>
      <c r="P87" s="2"/>
      <c r="Q87" s="2"/>
      <c r="R87" s="2"/>
    </row>
    <row r="88" spans="1:18" s="5" customFormat="1" ht="15" customHeight="1" x14ac:dyDescent="0.45">
      <c r="B88" s="114"/>
      <c r="C88" s="113"/>
      <c r="D88" s="17" t="s">
        <v>59</v>
      </c>
      <c r="E88" s="18"/>
      <c r="F88" s="18"/>
      <c r="G88" s="18"/>
      <c r="H88" s="18"/>
      <c r="I88" s="44">
        <f>SUM(E87:I87)/5</f>
        <v>1.4613418513141912E-2</v>
      </c>
      <c r="J88" s="18"/>
      <c r="K88" s="18"/>
      <c r="L88" s="18"/>
      <c r="M88" s="18"/>
      <c r="N88" s="19">
        <f>SUM(E87:N87)/10</f>
        <v>9.2746184971359454E-3</v>
      </c>
      <c r="P88" s="2"/>
      <c r="Q88" s="2"/>
      <c r="R88" s="2"/>
    </row>
    <row r="89" spans="1:18" s="5" customFormat="1" ht="15" customHeight="1" x14ac:dyDescent="0.45">
      <c r="B89" s="114"/>
      <c r="C89" s="113"/>
      <c r="D89" s="17" t="s">
        <v>56</v>
      </c>
      <c r="E89" s="18">
        <f>E$17*$D85</f>
        <v>2.3076923076923078E-2</v>
      </c>
      <c r="F89" s="18">
        <f t="shared" ref="F89:N89" si="45">F$17*$D85</f>
        <v>4.0828402366863907E-2</v>
      </c>
      <c r="G89" s="18">
        <f t="shared" si="45"/>
        <v>5.4483386436049157E-2</v>
      </c>
      <c r="H89" s="18">
        <f t="shared" si="45"/>
        <v>6.4987220335422424E-2</v>
      </c>
      <c r="I89" s="18">
        <f t="shared" si="45"/>
        <v>7.3067092565709563E-2</v>
      </c>
      <c r="J89" s="18">
        <f t="shared" si="45"/>
        <v>7.9282378896699673E-2</v>
      </c>
      <c r="K89" s="18">
        <f t="shared" si="45"/>
        <v>8.4063368382076675E-2</v>
      </c>
      <c r="L89" s="18">
        <f t="shared" si="45"/>
        <v>8.7741052601597438E-2</v>
      </c>
      <c r="M89" s="18">
        <f t="shared" si="45"/>
        <v>9.057004046276726E-2</v>
      </c>
      <c r="N89" s="18">
        <f t="shared" si="45"/>
        <v>9.2746184971359433E-2</v>
      </c>
      <c r="P89" s="2"/>
      <c r="Q89" s="2"/>
      <c r="R89" s="2"/>
    </row>
    <row r="90" spans="1:18" s="5" customFormat="1" ht="15" customHeight="1" x14ac:dyDescent="0.45">
      <c r="B90" s="114"/>
      <c r="C90" s="114"/>
      <c r="D90" s="21" t="s">
        <v>62</v>
      </c>
      <c r="E90" s="22">
        <f>10*E87</f>
        <v>0.23076923076923078</v>
      </c>
      <c r="F90" s="22">
        <f t="shared" ref="F90:N90" si="46">10*F87</f>
        <v>0.17751479289940825</v>
      </c>
      <c r="G90" s="22">
        <f t="shared" si="46"/>
        <v>0.1365498406918525</v>
      </c>
      <c r="H90" s="22">
        <f t="shared" si="46"/>
        <v>0.10503833899373273</v>
      </c>
      <c r="I90" s="22">
        <f t="shared" si="46"/>
        <v>8.0798722302871329E-2</v>
      </c>
      <c r="J90" s="22">
        <f t="shared" si="46"/>
        <v>6.2152863309901107E-2</v>
      </c>
      <c r="K90" s="22">
        <f t="shared" si="46"/>
        <v>4.7809894853769963E-2</v>
      </c>
      <c r="L90" s="22">
        <f t="shared" si="46"/>
        <v>3.6776842195207715E-2</v>
      </c>
      <c r="M90" s="22">
        <f t="shared" si="46"/>
        <v>2.8289878611698183E-2</v>
      </c>
      <c r="N90" s="22">
        <f t="shared" si="46"/>
        <v>2.1761445085921705E-2</v>
      </c>
      <c r="P90" s="2"/>
      <c r="Q90" s="2"/>
      <c r="R90" s="2"/>
    </row>
    <row r="91" spans="1:18" s="5" customFormat="1" ht="15" customHeight="1" x14ac:dyDescent="0.45">
      <c r="B91" s="114"/>
      <c r="C91" s="114"/>
      <c r="D91" s="21" t="s">
        <v>63</v>
      </c>
      <c r="E91" s="22">
        <f>10*E89</f>
        <v>0.23076923076923078</v>
      </c>
      <c r="F91" s="22">
        <f>10*F89</f>
        <v>0.40828402366863908</v>
      </c>
      <c r="G91" s="22">
        <f>10*G89</f>
        <v>0.54483386436049153</v>
      </c>
      <c r="H91" s="22">
        <f t="shared" ref="H91:N91" si="47">10*H89</f>
        <v>0.64987220335422424</v>
      </c>
      <c r="I91" s="22">
        <f t="shared" si="47"/>
        <v>0.73067092565709557</v>
      </c>
      <c r="J91" s="22">
        <f t="shared" si="47"/>
        <v>0.79282378896699668</v>
      </c>
      <c r="K91" s="22">
        <f t="shared" si="47"/>
        <v>0.84063368382076675</v>
      </c>
      <c r="L91" s="22">
        <f t="shared" si="47"/>
        <v>0.87741052601597436</v>
      </c>
      <c r="M91" s="22">
        <f t="shared" si="47"/>
        <v>0.90570040462767265</v>
      </c>
      <c r="N91" s="22">
        <f t="shared" si="47"/>
        <v>0.92746184971359436</v>
      </c>
      <c r="P91" s="2"/>
      <c r="Q91" s="2"/>
      <c r="R91" s="2"/>
    </row>
    <row r="92" spans="1:18" s="5" customFormat="1" ht="15" customHeight="1" x14ac:dyDescent="0.45">
      <c r="B92" s="114"/>
      <c r="C92" s="115" t="s">
        <v>48</v>
      </c>
      <c r="D92" s="17" t="s">
        <v>58</v>
      </c>
      <c r="E92" s="18">
        <f>E87*E$15/$E$4</f>
        <v>0.03</v>
      </c>
      <c r="F92" s="18">
        <f t="shared" ref="F92:N92" si="48">F87*F$15/$E$4</f>
        <v>2.9999999999999995E-2</v>
      </c>
      <c r="G92" s="18">
        <f t="shared" si="48"/>
        <v>2.9999999999999995E-2</v>
      </c>
      <c r="H92" s="18">
        <f t="shared" si="48"/>
        <v>3.0000000000000006E-2</v>
      </c>
      <c r="I92" s="18">
        <f t="shared" si="48"/>
        <v>3.0000000000000006E-2</v>
      </c>
      <c r="J92" s="18">
        <f t="shared" si="48"/>
        <v>3.0000000000000044E-2</v>
      </c>
      <c r="K92" s="18">
        <f t="shared" si="48"/>
        <v>2.9999999999999971E-2</v>
      </c>
      <c r="L92" s="18">
        <f t="shared" si="48"/>
        <v>3.0000000000000013E-2</v>
      </c>
      <c r="M92" s="18">
        <f t="shared" si="48"/>
        <v>2.9999999999999954E-2</v>
      </c>
      <c r="N92" s="18">
        <f t="shared" si="48"/>
        <v>2.9999999999999985E-2</v>
      </c>
      <c r="P92" s="2"/>
      <c r="Q92" s="2"/>
      <c r="R92" s="2"/>
    </row>
    <row r="93" spans="1:18" s="5" customFormat="1" ht="15" customHeight="1" x14ac:dyDescent="0.45">
      <c r="B93" s="114"/>
      <c r="C93" s="114"/>
      <c r="D93" s="21" t="s">
        <v>62</v>
      </c>
      <c r="E93" s="23">
        <f t="shared" ref="E93:N93" si="49">E90*E$15</f>
        <v>30000</v>
      </c>
      <c r="F93" s="23">
        <f t="shared" si="49"/>
        <v>29999.999999999993</v>
      </c>
      <c r="G93" s="23">
        <f t="shared" si="49"/>
        <v>29999.999999999993</v>
      </c>
      <c r="H93" s="23">
        <f t="shared" si="49"/>
        <v>30000.000000000004</v>
      </c>
      <c r="I93" s="23">
        <f t="shared" si="49"/>
        <v>30000.000000000004</v>
      </c>
      <c r="J93" s="23">
        <f t="shared" si="49"/>
        <v>30000.000000000047</v>
      </c>
      <c r="K93" s="23">
        <f t="shared" si="49"/>
        <v>29999.999999999971</v>
      </c>
      <c r="L93" s="23">
        <f t="shared" si="49"/>
        <v>30000.000000000015</v>
      </c>
      <c r="M93" s="23">
        <f t="shared" si="49"/>
        <v>29999.999999999953</v>
      </c>
      <c r="N93" s="23">
        <f t="shared" si="49"/>
        <v>29999.999999999985</v>
      </c>
      <c r="P93" s="2"/>
      <c r="Q93" s="2"/>
      <c r="R93" s="2"/>
    </row>
    <row r="94" spans="1:18" s="5" customFormat="1" ht="15" customHeight="1" x14ac:dyDescent="0.45">
      <c r="B94" s="114"/>
      <c r="C94" s="114"/>
      <c r="D94" s="21" t="s">
        <v>63</v>
      </c>
      <c r="E94" s="23">
        <f>E93</f>
        <v>30000</v>
      </c>
      <c r="F94" s="23">
        <f>E94+F93</f>
        <v>59999.999999999993</v>
      </c>
      <c r="G94" s="23">
        <f t="shared" ref="G94:N94" si="50">F94+G93</f>
        <v>89999.999999999985</v>
      </c>
      <c r="H94" s="23">
        <f t="shared" si="50"/>
        <v>119999.99999999999</v>
      </c>
      <c r="I94" s="23">
        <f t="shared" si="50"/>
        <v>150000</v>
      </c>
      <c r="J94" s="23">
        <f t="shared" si="50"/>
        <v>180000.00000000006</v>
      </c>
      <c r="K94" s="23">
        <f t="shared" si="50"/>
        <v>210000.00000000003</v>
      </c>
      <c r="L94" s="23">
        <f t="shared" si="50"/>
        <v>240000.00000000006</v>
      </c>
      <c r="M94" s="23">
        <f t="shared" si="50"/>
        <v>270000</v>
      </c>
      <c r="N94" s="23">
        <f t="shared" si="50"/>
        <v>300000</v>
      </c>
      <c r="P94" s="2"/>
      <c r="Q94" s="2"/>
      <c r="R94" s="2"/>
    </row>
    <row r="95" spans="1:18" s="5" customFormat="1" ht="15" customHeight="1" x14ac:dyDescent="0.45">
      <c r="B95" s="114"/>
      <c r="C95" s="115" t="s">
        <v>47</v>
      </c>
      <c r="D95" s="17" t="s">
        <v>58</v>
      </c>
      <c r="E95" s="18">
        <f>E89*E$15/$E$4</f>
        <v>0.03</v>
      </c>
      <c r="F95" s="18">
        <f>F89*F$15/$E$4-E95</f>
        <v>3.9000000000000007E-2</v>
      </c>
      <c r="G95" s="18">
        <f>G89*G$15/$E$4-F95-E95</f>
        <v>5.0699999999999995E-2</v>
      </c>
      <c r="H95" s="18">
        <f>H89*H$15/$E$4-G95-F95-E95</f>
        <v>6.5909999999999996E-2</v>
      </c>
      <c r="I95" s="18">
        <f>I89*I$15/$E$4-H95-G95-F95-E95</f>
        <v>8.5683000000000009E-2</v>
      </c>
      <c r="J95" s="18">
        <f>J89*J$15/$E$4-I95-H95-G95-F95-E95</f>
        <v>0.11138790000000004</v>
      </c>
      <c r="K95" s="18">
        <f>K89*K$15/$E$4-J95-I95-H95-G95-F95-E95</f>
        <v>0.1448042700000001</v>
      </c>
      <c r="L95" s="18">
        <f>L89*L$15/$E$4-K95-J95-I95-H95-G95-F95-E95</f>
        <v>0.1882455509999999</v>
      </c>
      <c r="M95" s="18">
        <f>M89*M$15/$E$4-L95-K95-J95-I95-H95-G95-F95-E95</f>
        <v>0.24471921630000029</v>
      </c>
      <c r="N95" s="18">
        <f>N89*N$15/$E$4-M95-L95-K95-J95-I95-H95-G95-F95-E95</f>
        <v>0.31813498119000005</v>
      </c>
      <c r="P95" s="2"/>
      <c r="Q95" s="2"/>
      <c r="R95" s="2"/>
    </row>
    <row r="96" spans="1:18" s="5" customFormat="1" ht="15" customHeight="1" x14ac:dyDescent="0.45">
      <c r="B96" s="114"/>
      <c r="C96" s="113"/>
      <c r="D96" s="17" t="s">
        <v>59</v>
      </c>
      <c r="E96" s="19"/>
      <c r="F96" s="19"/>
      <c r="G96" s="19"/>
      <c r="H96" s="19"/>
      <c r="I96" s="19">
        <f>SUM(E95:I95)/5</f>
        <v>5.4258600000000004E-2</v>
      </c>
      <c r="J96" s="19"/>
      <c r="K96" s="19"/>
      <c r="L96" s="19"/>
      <c r="M96" s="19"/>
      <c r="N96" s="19">
        <f>SUM(E95:N95)/10</f>
        <v>0.12785849184900006</v>
      </c>
      <c r="P96" s="2"/>
      <c r="Q96" s="2"/>
      <c r="R96" s="2"/>
    </row>
    <row r="97" spans="2:18" s="5" customFormat="1" ht="15" customHeight="1" x14ac:dyDescent="0.45">
      <c r="B97" s="114"/>
      <c r="C97" s="114"/>
      <c r="D97" s="21" t="s">
        <v>62</v>
      </c>
      <c r="E97" s="24">
        <f>E99</f>
        <v>30000</v>
      </c>
      <c r="F97" s="24">
        <f>F99-E99</f>
        <v>39000</v>
      </c>
      <c r="G97" s="24">
        <f t="shared" ref="G97:N97" si="51">G99-F99</f>
        <v>50699.999999999985</v>
      </c>
      <c r="H97" s="24">
        <f t="shared" si="51"/>
        <v>65910.000000000015</v>
      </c>
      <c r="I97" s="24">
        <f t="shared" si="51"/>
        <v>85683</v>
      </c>
      <c r="J97" s="24">
        <f t="shared" si="51"/>
        <v>111387.90000000002</v>
      </c>
      <c r="K97" s="24">
        <f t="shared" si="51"/>
        <v>144804.27000000014</v>
      </c>
      <c r="L97" s="24">
        <f t="shared" si="51"/>
        <v>188245.55099999986</v>
      </c>
      <c r="M97" s="24">
        <f t="shared" si="51"/>
        <v>244719.2163000002</v>
      </c>
      <c r="N97" s="24">
        <f t="shared" si="51"/>
        <v>318134.98118999985</v>
      </c>
      <c r="P97" s="2"/>
      <c r="Q97" s="2"/>
      <c r="R97" s="2"/>
    </row>
    <row r="98" spans="2:18" s="5" customFormat="1" ht="15" customHeight="1" x14ac:dyDescent="0.45">
      <c r="B98" s="114"/>
      <c r="C98" s="114"/>
      <c r="D98" s="21" t="s">
        <v>64</v>
      </c>
      <c r="E98" s="24"/>
      <c r="F98" s="24"/>
      <c r="G98" s="24"/>
      <c r="H98" s="24"/>
      <c r="I98" s="24">
        <f>SUM(E97:I97)/5</f>
        <v>54258.6</v>
      </c>
      <c r="J98" s="24"/>
      <c r="K98" s="24"/>
      <c r="L98" s="24"/>
      <c r="M98" s="24"/>
      <c r="N98" s="24">
        <f>SUM(E97:N97)/10</f>
        <v>127858.49184900001</v>
      </c>
      <c r="P98" s="2"/>
      <c r="Q98" s="2"/>
      <c r="R98" s="2"/>
    </row>
    <row r="99" spans="2:18" s="5" customFormat="1" ht="15" customHeight="1" x14ac:dyDescent="0.45">
      <c r="B99" s="114"/>
      <c r="C99" s="114"/>
      <c r="D99" s="21" t="s">
        <v>63</v>
      </c>
      <c r="E99" s="23">
        <f t="shared" ref="E99:N99" si="52">E91*E$15</f>
        <v>30000</v>
      </c>
      <c r="F99" s="23">
        <f t="shared" si="52"/>
        <v>69000</v>
      </c>
      <c r="G99" s="23">
        <f t="shared" si="52"/>
        <v>119699.99999999999</v>
      </c>
      <c r="H99" s="23">
        <f t="shared" si="52"/>
        <v>185610</v>
      </c>
      <c r="I99" s="23">
        <f t="shared" si="52"/>
        <v>271293</v>
      </c>
      <c r="J99" s="23">
        <f t="shared" si="52"/>
        <v>382680.9</v>
      </c>
      <c r="K99" s="23">
        <f t="shared" si="52"/>
        <v>527485.17000000016</v>
      </c>
      <c r="L99" s="23">
        <f t="shared" si="52"/>
        <v>715730.72100000002</v>
      </c>
      <c r="M99" s="23">
        <f t="shared" si="52"/>
        <v>960449.93730000022</v>
      </c>
      <c r="N99" s="23">
        <f t="shared" si="52"/>
        <v>1278584.9184900001</v>
      </c>
      <c r="P99" s="2"/>
      <c r="Q99" s="2"/>
      <c r="R99" s="2"/>
    </row>
    <row r="100" spans="2:18" s="5" customFormat="1" ht="15" customHeight="1" x14ac:dyDescent="0.45">
      <c r="B100" s="114" t="s">
        <v>17</v>
      </c>
      <c r="C100" s="113" t="s">
        <v>43</v>
      </c>
      <c r="D100" s="17" t="s">
        <v>58</v>
      </c>
      <c r="E100" s="18">
        <f>E$21*$D85</f>
        <v>2E-3</v>
      </c>
      <c r="F100" s="18">
        <f t="shared" ref="F100:N100" si="53">F$21*$D85</f>
        <v>2E-3</v>
      </c>
      <c r="G100" s="18">
        <f t="shared" si="53"/>
        <v>2E-3</v>
      </c>
      <c r="H100" s="18">
        <f t="shared" si="53"/>
        <v>2E-3</v>
      </c>
      <c r="I100" s="18">
        <f t="shared" si="53"/>
        <v>2E-3</v>
      </c>
      <c r="J100" s="18">
        <f t="shared" si="53"/>
        <v>2E-3</v>
      </c>
      <c r="K100" s="18">
        <f t="shared" si="53"/>
        <v>2E-3</v>
      </c>
      <c r="L100" s="18">
        <f t="shared" si="53"/>
        <v>2E-3</v>
      </c>
      <c r="M100" s="18">
        <f t="shared" si="53"/>
        <v>2E-3</v>
      </c>
      <c r="N100" s="18">
        <f t="shared" si="53"/>
        <v>2E-3</v>
      </c>
      <c r="P100" s="2"/>
      <c r="Q100" s="2"/>
      <c r="R100" s="2"/>
    </row>
    <row r="101" spans="2:18" s="5" customFormat="1" ht="15" customHeight="1" x14ac:dyDescent="0.45">
      <c r="B101" s="114"/>
      <c r="C101" s="113"/>
      <c r="D101" s="17" t="s">
        <v>56</v>
      </c>
      <c r="E101" s="18">
        <f>E$22*$D85</f>
        <v>2E-3</v>
      </c>
      <c r="F101" s="18">
        <f t="shared" ref="F101:N101" si="54">F$22*$D85</f>
        <v>4.0000000000000001E-3</v>
      </c>
      <c r="G101" s="18">
        <f t="shared" si="54"/>
        <v>6.0000000000000001E-3</v>
      </c>
      <c r="H101" s="18">
        <f t="shared" si="54"/>
        <v>8.0000000000000002E-3</v>
      </c>
      <c r="I101" s="18">
        <f t="shared" si="54"/>
        <v>1.0000000000000002E-2</v>
      </c>
      <c r="J101" s="18">
        <f t="shared" si="54"/>
        <v>1.2000000000000002E-2</v>
      </c>
      <c r="K101" s="18">
        <f t="shared" si="54"/>
        <v>1.4000000000000002E-2</v>
      </c>
      <c r="L101" s="18">
        <f t="shared" si="54"/>
        <v>1.6E-2</v>
      </c>
      <c r="M101" s="18">
        <f t="shared" si="54"/>
        <v>1.7999999999999999E-2</v>
      </c>
      <c r="N101" s="18">
        <f t="shared" si="54"/>
        <v>0.02</v>
      </c>
      <c r="P101" s="2"/>
      <c r="Q101" s="2"/>
      <c r="R101" s="2"/>
    </row>
    <row r="102" spans="2:18" s="5" customFormat="1" ht="15" customHeight="1" x14ac:dyDescent="0.45">
      <c r="B102" s="114"/>
      <c r="C102" s="114"/>
      <c r="D102" s="21" t="s">
        <v>62</v>
      </c>
      <c r="E102" s="22">
        <f>10*E100</f>
        <v>0.02</v>
      </c>
      <c r="F102" s="22">
        <f t="shared" ref="F102:N103" si="55">10*F100</f>
        <v>0.02</v>
      </c>
      <c r="G102" s="22">
        <f t="shared" si="55"/>
        <v>0.02</v>
      </c>
      <c r="H102" s="22">
        <f t="shared" si="55"/>
        <v>0.02</v>
      </c>
      <c r="I102" s="22">
        <f t="shared" si="55"/>
        <v>0.02</v>
      </c>
      <c r="J102" s="22">
        <f t="shared" si="55"/>
        <v>0.02</v>
      </c>
      <c r="K102" s="22">
        <f t="shared" si="55"/>
        <v>0.02</v>
      </c>
      <c r="L102" s="22">
        <f t="shared" si="55"/>
        <v>0.02</v>
      </c>
      <c r="M102" s="22">
        <f t="shared" si="55"/>
        <v>0.02</v>
      </c>
      <c r="N102" s="22">
        <f t="shared" si="55"/>
        <v>0.02</v>
      </c>
      <c r="P102" s="2"/>
      <c r="Q102" s="2"/>
      <c r="R102" s="2"/>
    </row>
    <row r="103" spans="2:18" s="5" customFormat="1" ht="15" customHeight="1" x14ac:dyDescent="0.45">
      <c r="B103" s="114"/>
      <c r="C103" s="114"/>
      <c r="D103" s="21" t="s">
        <v>63</v>
      </c>
      <c r="E103" s="22">
        <f>10*E101</f>
        <v>0.02</v>
      </c>
      <c r="F103" s="22">
        <f t="shared" si="55"/>
        <v>0.04</v>
      </c>
      <c r="G103" s="22">
        <f t="shared" si="55"/>
        <v>0.06</v>
      </c>
      <c r="H103" s="22">
        <f t="shared" si="55"/>
        <v>0.08</v>
      </c>
      <c r="I103" s="22">
        <f t="shared" si="55"/>
        <v>0.10000000000000002</v>
      </c>
      <c r="J103" s="22">
        <f t="shared" si="55"/>
        <v>0.12000000000000002</v>
      </c>
      <c r="K103" s="22">
        <f t="shared" si="55"/>
        <v>0.14000000000000001</v>
      </c>
      <c r="L103" s="22">
        <f t="shared" si="55"/>
        <v>0.16</v>
      </c>
      <c r="M103" s="22">
        <f t="shared" si="55"/>
        <v>0.18</v>
      </c>
      <c r="N103" s="22">
        <f t="shared" si="55"/>
        <v>0.2</v>
      </c>
      <c r="P103" s="2"/>
      <c r="Q103" s="2"/>
      <c r="R103" s="2"/>
    </row>
    <row r="104" spans="2:18" s="5" customFormat="1" ht="15" customHeight="1" x14ac:dyDescent="0.45">
      <c r="B104" s="114"/>
      <c r="C104" s="115" t="s">
        <v>48</v>
      </c>
      <c r="D104" s="17" t="s">
        <v>58</v>
      </c>
      <c r="E104" s="18">
        <f>E100*E$15/$E$4</f>
        <v>2.5999999999999999E-3</v>
      </c>
      <c r="F104" s="18">
        <f t="shared" ref="F104:N104" si="56">F100*F$15/$E$4</f>
        <v>3.3800000000000002E-3</v>
      </c>
      <c r="G104" s="18">
        <f t="shared" si="56"/>
        <v>4.3940000000000003E-3</v>
      </c>
      <c r="H104" s="18">
        <f t="shared" si="56"/>
        <v>5.7122000000000006E-3</v>
      </c>
      <c r="I104" s="18">
        <f t="shared" si="56"/>
        <v>7.4258600000000003E-3</v>
      </c>
      <c r="J104" s="18">
        <f t="shared" si="56"/>
        <v>9.653618000000001E-3</v>
      </c>
      <c r="K104" s="18">
        <f t="shared" si="56"/>
        <v>1.2549703400000001E-2</v>
      </c>
      <c r="L104" s="18">
        <f t="shared" si="56"/>
        <v>1.6314614420000002E-2</v>
      </c>
      <c r="M104" s="18">
        <f t="shared" si="56"/>
        <v>2.1208998746000001E-2</v>
      </c>
      <c r="N104" s="18">
        <f t="shared" si="56"/>
        <v>2.7571698369800002E-2</v>
      </c>
      <c r="P104" s="2"/>
      <c r="Q104" s="2"/>
      <c r="R104" s="2"/>
    </row>
    <row r="105" spans="2:18" s="5" customFormat="1" ht="15" customHeight="1" x14ac:dyDescent="0.45">
      <c r="B105" s="114"/>
      <c r="C105" s="113"/>
      <c r="D105" s="17" t="s">
        <v>59</v>
      </c>
      <c r="E105" s="18"/>
      <c r="F105" s="18"/>
      <c r="G105" s="18"/>
      <c r="H105" s="18"/>
      <c r="I105" s="19">
        <f>SUM(E104:I104)/5</f>
        <v>4.7024120000000004E-3</v>
      </c>
      <c r="J105" s="19"/>
      <c r="K105" s="19"/>
      <c r="L105" s="19"/>
      <c r="M105" s="19"/>
      <c r="N105" s="19">
        <f>SUM(E104:N104)/10</f>
        <v>1.1081069293580001E-2</v>
      </c>
      <c r="P105" s="2"/>
      <c r="Q105" s="2"/>
      <c r="R105" s="2"/>
    </row>
    <row r="106" spans="2:18" s="5" customFormat="1" ht="15" customHeight="1" x14ac:dyDescent="0.45">
      <c r="B106" s="114"/>
      <c r="C106" s="114"/>
      <c r="D106" s="21" t="s">
        <v>62</v>
      </c>
      <c r="E106" s="25">
        <f t="shared" ref="E106:N106" si="57">E102*E$15</f>
        <v>2600</v>
      </c>
      <c r="F106" s="25">
        <f t="shared" si="57"/>
        <v>3380</v>
      </c>
      <c r="G106" s="25">
        <f t="shared" si="57"/>
        <v>4394</v>
      </c>
      <c r="H106" s="25">
        <f t="shared" si="57"/>
        <v>5712.2</v>
      </c>
      <c r="I106" s="25">
        <f t="shared" si="57"/>
        <v>7425.8600000000006</v>
      </c>
      <c r="J106" s="25">
        <f t="shared" si="57"/>
        <v>9653.6180000000004</v>
      </c>
      <c r="K106" s="25">
        <f t="shared" si="57"/>
        <v>12549.7034</v>
      </c>
      <c r="L106" s="25">
        <f t="shared" si="57"/>
        <v>16314.61442</v>
      </c>
      <c r="M106" s="25">
        <f t="shared" si="57"/>
        <v>21208.998746000001</v>
      </c>
      <c r="N106" s="25">
        <f t="shared" si="57"/>
        <v>27571.6983698</v>
      </c>
      <c r="P106" s="2"/>
      <c r="Q106" s="2"/>
      <c r="R106" s="2"/>
    </row>
    <row r="107" spans="2:18" s="5" customFormat="1" ht="15" customHeight="1" x14ac:dyDescent="0.45">
      <c r="B107" s="114"/>
      <c r="C107" s="114"/>
      <c r="D107" s="21" t="s">
        <v>64</v>
      </c>
      <c r="E107" s="26"/>
      <c r="F107" s="26"/>
      <c r="G107" s="26"/>
      <c r="H107" s="26"/>
      <c r="I107" s="25">
        <f>SUM(E106:I106)/5</f>
        <v>4702.4120000000003</v>
      </c>
      <c r="J107" s="25"/>
      <c r="K107" s="25"/>
      <c r="L107" s="25"/>
      <c r="M107" s="25"/>
      <c r="N107" s="25">
        <f>SUM(E106:N106)/10</f>
        <v>11081.06929358</v>
      </c>
      <c r="P107" s="2"/>
      <c r="Q107" s="2"/>
      <c r="R107" s="2"/>
    </row>
    <row r="108" spans="2:18" s="5" customFormat="1" ht="15" customHeight="1" x14ac:dyDescent="0.45">
      <c r="B108" s="114"/>
      <c r="C108" s="114"/>
      <c r="D108" s="21" t="s">
        <v>63</v>
      </c>
      <c r="E108" s="26">
        <f>E106</f>
        <v>2600</v>
      </c>
      <c r="F108" s="26">
        <f t="shared" ref="F108:N108" si="58">E108+F106</f>
        <v>5980</v>
      </c>
      <c r="G108" s="26">
        <f t="shared" si="58"/>
        <v>10374</v>
      </c>
      <c r="H108" s="26">
        <f t="shared" si="58"/>
        <v>16086.2</v>
      </c>
      <c r="I108" s="26">
        <f t="shared" si="58"/>
        <v>23512.06</v>
      </c>
      <c r="J108" s="26">
        <f t="shared" si="58"/>
        <v>33165.678</v>
      </c>
      <c r="K108" s="26">
        <f t="shared" si="58"/>
        <v>45715.381399999998</v>
      </c>
      <c r="L108" s="26">
        <f t="shared" si="58"/>
        <v>62029.995819999996</v>
      </c>
      <c r="M108" s="26">
        <f t="shared" si="58"/>
        <v>83238.994565999994</v>
      </c>
      <c r="N108" s="26">
        <f t="shared" si="58"/>
        <v>110810.69293579999</v>
      </c>
      <c r="P108" s="2"/>
      <c r="Q108" s="2"/>
      <c r="R108" s="2"/>
    </row>
    <row r="109" spans="2:18" s="5" customFormat="1" ht="15" customHeight="1" x14ac:dyDescent="0.45">
      <c r="B109" s="114"/>
      <c r="C109" s="115" t="s">
        <v>47</v>
      </c>
      <c r="D109" s="17" t="s">
        <v>58</v>
      </c>
      <c r="E109" s="18">
        <f>E101*E$15/$E$4</f>
        <v>2.5999999999999999E-3</v>
      </c>
      <c r="F109" s="18">
        <f>F101*F$15/$E$4-E109</f>
        <v>4.1600000000000005E-3</v>
      </c>
      <c r="G109" s="18">
        <f>G101*G$15/$E$4-F109-E109</f>
        <v>6.4220000000000006E-3</v>
      </c>
      <c r="H109" s="18">
        <f>H101*H$15/$E$4-G109-F109-E109</f>
        <v>9.6668000000000014E-3</v>
      </c>
      <c r="I109" s="18">
        <f>I101*I$15/$E$4-H109-G109-F109-E109</f>
        <v>1.4280500000000007E-2</v>
      </c>
      <c r="J109" s="18">
        <f>J101*J$15/$E$4-I109-H109-G109-F109-E109</f>
        <v>2.0792408000000005E-2</v>
      </c>
      <c r="K109" s="18">
        <f>K101*K$15/$E$4-J109-I109-H109-G109-F109-E109</f>
        <v>2.992621580000001E-2</v>
      </c>
      <c r="L109" s="18">
        <f>L101*L$15/$E$4-K109-J109-I109-H109-G109-F109-E109</f>
        <v>4.2668991559999987E-2</v>
      </c>
      <c r="M109" s="18">
        <f>M101*M$15/$E$4-L109-K109-J109-I109-H109-G109-F109-E109</f>
        <v>6.0364073354000021E-2</v>
      </c>
      <c r="N109" s="18">
        <f>N101*N$15/$E$4-M109-L109-K109-J109-I109-H109-G109-F109-E109</f>
        <v>8.4835994983999991E-2</v>
      </c>
      <c r="P109" s="2"/>
      <c r="Q109" s="2"/>
      <c r="R109" s="2"/>
    </row>
    <row r="110" spans="2:18" s="5" customFormat="1" ht="15" customHeight="1" x14ac:dyDescent="0.45">
      <c r="B110" s="114"/>
      <c r="C110" s="113"/>
      <c r="D110" s="17" t="s">
        <v>59</v>
      </c>
      <c r="E110" s="19"/>
      <c r="F110" s="19"/>
      <c r="G110" s="19"/>
      <c r="H110" s="19"/>
      <c r="I110" s="19">
        <f>SUM(E109:I109)/5</f>
        <v>7.425860000000002E-3</v>
      </c>
      <c r="J110" s="19"/>
      <c r="K110" s="19"/>
      <c r="L110" s="19"/>
      <c r="M110" s="19"/>
      <c r="N110" s="19">
        <f>SUM(E109:N109)/10</f>
        <v>2.7571698369800002E-2</v>
      </c>
      <c r="P110" s="2"/>
      <c r="Q110" s="2"/>
      <c r="R110" s="2"/>
    </row>
    <row r="111" spans="2:18" s="5" customFormat="1" ht="15" customHeight="1" x14ac:dyDescent="0.45">
      <c r="B111" s="114"/>
      <c r="C111" s="114"/>
      <c r="D111" s="21" t="s">
        <v>62</v>
      </c>
      <c r="E111" s="25">
        <f>E113</f>
        <v>2600</v>
      </c>
      <c r="F111" s="25">
        <f>F113-E113</f>
        <v>4160</v>
      </c>
      <c r="G111" s="25">
        <f>G113-F113</f>
        <v>6422</v>
      </c>
      <c r="H111" s="25">
        <f t="shared" ref="H111:N111" si="59">H113-G113</f>
        <v>9666.7999999999993</v>
      </c>
      <c r="I111" s="25">
        <f t="shared" si="59"/>
        <v>14280.500000000011</v>
      </c>
      <c r="J111" s="25">
        <f t="shared" si="59"/>
        <v>20792.408000000003</v>
      </c>
      <c r="K111" s="25">
        <f t="shared" si="59"/>
        <v>29926.215800000005</v>
      </c>
      <c r="L111" s="25">
        <f t="shared" si="59"/>
        <v>42668.99155999998</v>
      </c>
      <c r="M111" s="25">
        <f t="shared" si="59"/>
        <v>60364.073354000007</v>
      </c>
      <c r="N111" s="25">
        <f t="shared" si="59"/>
        <v>84835.994984000019</v>
      </c>
      <c r="P111" s="2"/>
      <c r="Q111" s="2"/>
      <c r="R111" s="2"/>
    </row>
    <row r="112" spans="2:18" s="5" customFormat="1" ht="15" customHeight="1" x14ac:dyDescent="0.45">
      <c r="B112" s="114"/>
      <c r="C112" s="114"/>
      <c r="D112" s="21" t="s">
        <v>64</v>
      </c>
      <c r="E112" s="25"/>
      <c r="F112" s="25"/>
      <c r="G112" s="25"/>
      <c r="H112" s="25"/>
      <c r="I112" s="25">
        <f>SUM(E111:I111)/5</f>
        <v>7425.8600000000024</v>
      </c>
      <c r="J112" s="25"/>
      <c r="K112" s="25"/>
      <c r="L112" s="25"/>
      <c r="M112" s="25"/>
      <c r="N112" s="25">
        <f>SUM(E111:N111)/10</f>
        <v>27571.698369800004</v>
      </c>
      <c r="P112" s="2"/>
      <c r="Q112" s="2"/>
      <c r="R112" s="2"/>
    </row>
    <row r="113" spans="1:18" s="5" customFormat="1" ht="15" customHeight="1" x14ac:dyDescent="0.45">
      <c r="B113" s="114"/>
      <c r="C113" s="114"/>
      <c r="D113" s="21" t="s">
        <v>63</v>
      </c>
      <c r="E113" s="26">
        <f t="shared" ref="E113:N113" si="60">E103*E$15</f>
        <v>2600</v>
      </c>
      <c r="F113" s="26">
        <f t="shared" si="60"/>
        <v>6760</v>
      </c>
      <c r="G113" s="26">
        <f t="shared" si="60"/>
        <v>13182</v>
      </c>
      <c r="H113" s="26">
        <f t="shared" si="60"/>
        <v>22848.799999999999</v>
      </c>
      <c r="I113" s="26">
        <f t="shared" si="60"/>
        <v>37129.30000000001</v>
      </c>
      <c r="J113" s="26">
        <f t="shared" si="60"/>
        <v>57921.708000000013</v>
      </c>
      <c r="K113" s="26">
        <f t="shared" si="60"/>
        <v>87847.923800000019</v>
      </c>
      <c r="L113" s="26">
        <f t="shared" si="60"/>
        <v>130516.91536</v>
      </c>
      <c r="M113" s="26">
        <f t="shared" si="60"/>
        <v>190880.98871400001</v>
      </c>
      <c r="N113" s="26">
        <f t="shared" si="60"/>
        <v>275716.98369800003</v>
      </c>
      <c r="P113" s="2"/>
      <c r="Q113" s="2"/>
      <c r="R113" s="2"/>
    </row>
    <row r="114" spans="1:18" s="5" customFormat="1" ht="15" customHeight="1" x14ac:dyDescent="0.45">
      <c r="B114" s="114" t="s">
        <v>18</v>
      </c>
      <c r="C114" s="113" t="s">
        <v>43</v>
      </c>
      <c r="D114" s="17" t="s">
        <v>58</v>
      </c>
      <c r="E114" s="18">
        <f>E87+E100</f>
        <v>2.507692307692308E-2</v>
      </c>
      <c r="F114" s="18">
        <f t="shared" ref="F114:N114" si="61">F87+F100</f>
        <v>1.9751479289940824E-2</v>
      </c>
      <c r="G114" s="18">
        <f t="shared" si="61"/>
        <v>1.5654984069185252E-2</v>
      </c>
      <c r="H114" s="18">
        <f t="shared" si="61"/>
        <v>1.2503833899373273E-2</v>
      </c>
      <c r="I114" s="18">
        <f t="shared" si="61"/>
        <v>1.0079872230287133E-2</v>
      </c>
      <c r="J114" s="18">
        <f t="shared" si="61"/>
        <v>8.2152863309901108E-3</v>
      </c>
      <c r="K114" s="18">
        <f t="shared" si="61"/>
        <v>6.7809894853769967E-3</v>
      </c>
      <c r="L114" s="18">
        <f t="shared" si="61"/>
        <v>5.6776842195207719E-3</v>
      </c>
      <c r="M114" s="18">
        <f t="shared" si="61"/>
        <v>4.8289878611698185E-3</v>
      </c>
      <c r="N114" s="18">
        <f t="shared" si="61"/>
        <v>4.1761445085921707E-3</v>
      </c>
      <c r="P114" s="2"/>
      <c r="Q114" s="2"/>
      <c r="R114" s="2"/>
    </row>
    <row r="115" spans="1:18" s="5" customFormat="1" ht="15" customHeight="1" x14ac:dyDescent="0.45">
      <c r="B115" s="114"/>
      <c r="C115" s="113"/>
      <c r="D115" s="17" t="s">
        <v>59</v>
      </c>
      <c r="E115" s="18"/>
      <c r="F115" s="18"/>
      <c r="G115" s="18"/>
      <c r="H115" s="18"/>
      <c r="I115" s="44">
        <f>SUM(E114:I114)/5</f>
        <v>1.6613418513141916E-2</v>
      </c>
      <c r="J115" s="18"/>
      <c r="K115" s="18"/>
      <c r="L115" s="18"/>
      <c r="M115" s="18"/>
      <c r="N115" s="19">
        <f>SUM(E114:N114)/10</f>
        <v>1.1274618497135947E-2</v>
      </c>
      <c r="P115" s="2"/>
      <c r="Q115" s="2"/>
      <c r="R115" s="2"/>
    </row>
    <row r="116" spans="1:18" ht="15" customHeight="1" x14ac:dyDescent="0.45">
      <c r="B116" s="114"/>
      <c r="C116" s="113"/>
      <c r="D116" s="17" t="s">
        <v>56</v>
      </c>
      <c r="E116" s="18">
        <f>E89+E101</f>
        <v>2.507692307692308E-2</v>
      </c>
      <c r="F116" s="18">
        <f t="shared" ref="F116:N116" si="62">F89+F101</f>
        <v>4.4828402366863904E-2</v>
      </c>
      <c r="G116" s="18">
        <f t="shared" si="62"/>
        <v>6.0483386436049155E-2</v>
      </c>
      <c r="H116" s="18">
        <f t="shared" si="62"/>
        <v>7.2987220335422431E-2</v>
      </c>
      <c r="I116" s="18">
        <f t="shared" si="62"/>
        <v>8.3067092565709572E-2</v>
      </c>
      <c r="J116" s="18">
        <f t="shared" si="62"/>
        <v>9.128237889669967E-2</v>
      </c>
      <c r="K116" s="18">
        <f t="shared" si="62"/>
        <v>9.8063368382076674E-2</v>
      </c>
      <c r="L116" s="18">
        <f t="shared" si="62"/>
        <v>0.10374105260159744</v>
      </c>
      <c r="M116" s="18">
        <f t="shared" si="62"/>
        <v>0.10857004046276726</v>
      </c>
      <c r="N116" s="18">
        <f t="shared" si="62"/>
        <v>0.11274618497135944</v>
      </c>
    </row>
    <row r="117" spans="1:18" ht="15" customHeight="1" x14ac:dyDescent="0.45">
      <c r="B117" s="114"/>
      <c r="C117" s="114"/>
      <c r="D117" s="21" t="s">
        <v>62</v>
      </c>
      <c r="E117" s="22">
        <f>10*E114</f>
        <v>0.2507692307692308</v>
      </c>
      <c r="F117" s="22">
        <f t="shared" ref="F117:N117" si="63">10*F114</f>
        <v>0.19751479289940824</v>
      </c>
      <c r="G117" s="22">
        <f t="shared" si="63"/>
        <v>0.15654984069185252</v>
      </c>
      <c r="H117" s="22">
        <f t="shared" si="63"/>
        <v>0.12503833899373273</v>
      </c>
      <c r="I117" s="22">
        <f t="shared" si="63"/>
        <v>0.10079872230287133</v>
      </c>
      <c r="J117" s="22">
        <f t="shared" si="63"/>
        <v>8.2152863309901111E-2</v>
      </c>
      <c r="K117" s="22">
        <f t="shared" si="63"/>
        <v>6.7809894853769967E-2</v>
      </c>
      <c r="L117" s="22">
        <f t="shared" si="63"/>
        <v>5.6776842195207719E-2</v>
      </c>
      <c r="M117" s="22">
        <f t="shared" si="63"/>
        <v>4.8289878611698187E-2</v>
      </c>
      <c r="N117" s="22">
        <f t="shared" si="63"/>
        <v>4.1761445085921708E-2</v>
      </c>
    </row>
    <row r="118" spans="1:18" ht="15" customHeight="1" x14ac:dyDescent="0.45">
      <c r="B118" s="114"/>
      <c r="C118" s="114"/>
      <c r="D118" s="21" t="s">
        <v>63</v>
      </c>
      <c r="E118" s="22">
        <f>10*E116</f>
        <v>0.2507692307692308</v>
      </c>
      <c r="F118" s="22">
        <f>10*F116</f>
        <v>0.44828402366863906</v>
      </c>
      <c r="G118" s="22">
        <f>10*G116</f>
        <v>0.60483386436049158</v>
      </c>
      <c r="H118" s="22">
        <f t="shared" ref="H118:N118" si="64">10*H116</f>
        <v>0.72987220335422431</v>
      </c>
      <c r="I118" s="22">
        <f t="shared" si="64"/>
        <v>0.83067092565709566</v>
      </c>
      <c r="J118" s="22">
        <f t="shared" si="64"/>
        <v>0.91282378896699667</v>
      </c>
      <c r="K118" s="22">
        <f t="shared" si="64"/>
        <v>0.98063368382076677</v>
      </c>
      <c r="L118" s="22">
        <f t="shared" si="64"/>
        <v>1.0374105260159743</v>
      </c>
      <c r="M118" s="22">
        <f t="shared" si="64"/>
        <v>1.0857004046276726</v>
      </c>
      <c r="N118" s="22">
        <f t="shared" si="64"/>
        <v>1.1274618497135944</v>
      </c>
    </row>
    <row r="119" spans="1:18" ht="15" customHeight="1" x14ac:dyDescent="0.45">
      <c r="B119" s="114"/>
      <c r="C119" s="115" t="s">
        <v>48</v>
      </c>
      <c r="D119" s="17" t="s">
        <v>58</v>
      </c>
      <c r="E119" s="18">
        <f>E92+E104</f>
        <v>3.2599999999999997E-2</v>
      </c>
      <c r="F119" s="18">
        <f t="shared" ref="F119:N119" si="65">F92+F104</f>
        <v>3.3379999999999993E-2</v>
      </c>
      <c r="G119" s="18">
        <f t="shared" si="65"/>
        <v>3.4393999999999994E-2</v>
      </c>
      <c r="H119" s="18">
        <f t="shared" si="65"/>
        <v>3.5712200000000006E-2</v>
      </c>
      <c r="I119" s="18">
        <f t="shared" si="65"/>
        <v>3.7425860000000005E-2</v>
      </c>
      <c r="J119" s="18">
        <f t="shared" si="65"/>
        <v>3.9653618000000043E-2</v>
      </c>
      <c r="K119" s="18">
        <f t="shared" si="65"/>
        <v>4.2549703399999972E-2</v>
      </c>
      <c r="L119" s="18">
        <f t="shared" si="65"/>
        <v>4.6314614420000011E-2</v>
      </c>
      <c r="M119" s="18">
        <f t="shared" si="65"/>
        <v>5.1208998745999955E-2</v>
      </c>
      <c r="N119" s="18">
        <f t="shared" si="65"/>
        <v>5.7571698369799987E-2</v>
      </c>
    </row>
    <row r="120" spans="1:18" ht="15" customHeight="1" x14ac:dyDescent="0.45">
      <c r="B120" s="114"/>
      <c r="C120" s="113"/>
      <c r="D120" s="17" t="s">
        <v>59</v>
      </c>
      <c r="E120" s="18"/>
      <c r="F120" s="18"/>
      <c r="G120" s="18"/>
      <c r="H120" s="18"/>
      <c r="I120" s="19">
        <f>SUM(E119:I119)/5</f>
        <v>3.4702412000000002E-2</v>
      </c>
      <c r="J120" s="19"/>
      <c r="K120" s="19"/>
      <c r="L120" s="19"/>
      <c r="M120" s="19"/>
      <c r="N120" s="19">
        <f>SUM(E119:N119)/10</f>
        <v>4.1081069293579991E-2</v>
      </c>
    </row>
    <row r="121" spans="1:18" ht="15" customHeight="1" x14ac:dyDescent="0.45">
      <c r="B121" s="114"/>
      <c r="C121" s="114"/>
      <c r="D121" s="21" t="s">
        <v>62</v>
      </c>
      <c r="E121" s="24">
        <f t="shared" ref="E121:N121" si="66">E117*E$15</f>
        <v>32600.000000000004</v>
      </c>
      <c r="F121" s="24">
        <f t="shared" si="66"/>
        <v>33379.999999999993</v>
      </c>
      <c r="G121" s="24">
        <f t="shared" si="66"/>
        <v>34394</v>
      </c>
      <c r="H121" s="24">
        <f t="shared" si="66"/>
        <v>35712.200000000004</v>
      </c>
      <c r="I121" s="24">
        <f t="shared" si="66"/>
        <v>37425.860000000008</v>
      </c>
      <c r="J121" s="24">
        <f t="shared" si="66"/>
        <v>39653.618000000046</v>
      </c>
      <c r="K121" s="24">
        <f t="shared" si="66"/>
        <v>42549.703399999977</v>
      </c>
      <c r="L121" s="24">
        <f t="shared" si="66"/>
        <v>46314.61442000002</v>
      </c>
      <c r="M121" s="24">
        <f t="shared" si="66"/>
        <v>51208.998745999961</v>
      </c>
      <c r="N121" s="24">
        <f t="shared" si="66"/>
        <v>57571.698369799989</v>
      </c>
    </row>
    <row r="122" spans="1:18" ht="15" customHeight="1" x14ac:dyDescent="0.45">
      <c r="B122" s="114"/>
      <c r="C122" s="114"/>
      <c r="D122" s="21" t="s">
        <v>64</v>
      </c>
      <c r="E122" s="23"/>
      <c r="F122" s="23"/>
      <c r="G122" s="23"/>
      <c r="H122" s="23"/>
      <c r="I122" s="24">
        <f>SUM(E121:I121)/5</f>
        <v>34702.412000000004</v>
      </c>
      <c r="J122" s="24"/>
      <c r="K122" s="24"/>
      <c r="L122" s="24"/>
      <c r="M122" s="24"/>
      <c r="N122" s="24">
        <f>SUM(E121:N121)/10</f>
        <v>41081.069293580003</v>
      </c>
    </row>
    <row r="123" spans="1:18" ht="15" customHeight="1" x14ac:dyDescent="0.45">
      <c r="B123" s="114"/>
      <c r="C123" s="114"/>
      <c r="D123" s="21" t="s">
        <v>63</v>
      </c>
      <c r="E123" s="23">
        <f>E121</f>
        <v>32600.000000000004</v>
      </c>
      <c r="F123" s="23">
        <f t="shared" ref="F123:N123" si="67">E123+F121</f>
        <v>65980</v>
      </c>
      <c r="G123" s="23">
        <f t="shared" si="67"/>
        <v>100374</v>
      </c>
      <c r="H123" s="23">
        <f t="shared" si="67"/>
        <v>136086.20000000001</v>
      </c>
      <c r="I123" s="23">
        <f t="shared" si="67"/>
        <v>173512.06000000003</v>
      </c>
      <c r="J123" s="23">
        <f t="shared" si="67"/>
        <v>213165.67800000007</v>
      </c>
      <c r="K123" s="23">
        <f t="shared" si="67"/>
        <v>255715.38140000004</v>
      </c>
      <c r="L123" s="23">
        <f t="shared" si="67"/>
        <v>302029.99582000007</v>
      </c>
      <c r="M123" s="23">
        <f t="shared" si="67"/>
        <v>353238.99456600001</v>
      </c>
      <c r="N123" s="23">
        <f t="shared" si="67"/>
        <v>410810.69293580001</v>
      </c>
    </row>
    <row r="124" spans="1:18" ht="15" customHeight="1" x14ac:dyDescent="0.45">
      <c r="B124" s="114"/>
      <c r="C124" s="115" t="s">
        <v>47</v>
      </c>
      <c r="D124" s="17" t="s">
        <v>58</v>
      </c>
      <c r="E124" s="18">
        <f>E95+E109</f>
        <v>3.2599999999999997E-2</v>
      </c>
      <c r="F124" s="18">
        <f t="shared" ref="F124:N124" si="68">F95+F109</f>
        <v>4.3160000000000004E-2</v>
      </c>
      <c r="G124" s="18">
        <f t="shared" si="68"/>
        <v>5.7121999999999992E-2</v>
      </c>
      <c r="H124" s="18">
        <f t="shared" si="68"/>
        <v>7.55768E-2</v>
      </c>
      <c r="I124" s="18">
        <f t="shared" si="68"/>
        <v>9.9963500000000011E-2</v>
      </c>
      <c r="J124" s="18">
        <f t="shared" si="68"/>
        <v>0.13218030800000005</v>
      </c>
      <c r="K124" s="18">
        <f t="shared" si="68"/>
        <v>0.17473048580000011</v>
      </c>
      <c r="L124" s="18">
        <f t="shared" si="68"/>
        <v>0.23091454255999988</v>
      </c>
      <c r="M124" s="18">
        <f t="shared" si="68"/>
        <v>0.30508328965400033</v>
      </c>
      <c r="N124" s="18">
        <f t="shared" si="68"/>
        <v>0.40297097617400002</v>
      </c>
    </row>
    <row r="125" spans="1:18" ht="15" customHeight="1" x14ac:dyDescent="0.45">
      <c r="A125" s="9"/>
      <c r="B125" s="114"/>
      <c r="C125" s="113"/>
      <c r="D125" s="17" t="s">
        <v>59</v>
      </c>
      <c r="E125" s="19"/>
      <c r="F125" s="19"/>
      <c r="G125" s="19"/>
      <c r="H125" s="19"/>
      <c r="I125" s="19">
        <f>SUM(E124:I124)/5</f>
        <v>6.168446000000001E-2</v>
      </c>
      <c r="J125" s="19"/>
      <c r="K125" s="19"/>
      <c r="L125" s="19"/>
      <c r="M125" s="19"/>
      <c r="N125" s="19">
        <f>SUM(E124:N124)/10</f>
        <v>0.15543019021880006</v>
      </c>
      <c r="O125" s="9"/>
    </row>
    <row r="126" spans="1:18" ht="15" customHeight="1" x14ac:dyDescent="0.45">
      <c r="B126" s="114"/>
      <c r="C126" s="114"/>
      <c r="D126" s="21" t="s">
        <v>62</v>
      </c>
      <c r="E126" s="24">
        <f>E128</f>
        <v>32600.000000000004</v>
      </c>
      <c r="F126" s="24">
        <f>F128-E128</f>
        <v>43160</v>
      </c>
      <c r="G126" s="24">
        <f>G128-F128</f>
        <v>57122</v>
      </c>
      <c r="H126" s="24">
        <f t="shared" ref="H126:N126" si="69">H128-G128</f>
        <v>75576.800000000017</v>
      </c>
      <c r="I126" s="24">
        <f t="shared" si="69"/>
        <v>99963.500000000029</v>
      </c>
      <c r="J126" s="24">
        <f t="shared" si="69"/>
        <v>132180.30800000002</v>
      </c>
      <c r="K126" s="24">
        <f t="shared" si="69"/>
        <v>174730.48580000008</v>
      </c>
      <c r="L126" s="24">
        <f t="shared" si="69"/>
        <v>230914.54255999986</v>
      </c>
      <c r="M126" s="24">
        <f t="shared" si="69"/>
        <v>305083.28965400008</v>
      </c>
      <c r="N126" s="24">
        <f t="shared" si="69"/>
        <v>402970.97617400018</v>
      </c>
    </row>
    <row r="127" spans="1:18" ht="15" customHeight="1" x14ac:dyDescent="0.45">
      <c r="B127" s="114"/>
      <c r="C127" s="114"/>
      <c r="D127" s="21" t="s">
        <v>64</v>
      </c>
      <c r="E127" s="24"/>
      <c r="F127" s="24"/>
      <c r="G127" s="24"/>
      <c r="H127" s="24"/>
      <c r="I127" s="24">
        <f>SUM(E126:I126)/5</f>
        <v>61684.460000000006</v>
      </c>
      <c r="J127" s="24"/>
      <c r="K127" s="24"/>
      <c r="L127" s="24"/>
      <c r="M127" s="24"/>
      <c r="N127" s="24">
        <f>SUM(E126:N126)/10</f>
        <v>155430.19021880004</v>
      </c>
    </row>
    <row r="128" spans="1:18" ht="15" customHeight="1" x14ac:dyDescent="0.45">
      <c r="B128" s="114"/>
      <c r="C128" s="114"/>
      <c r="D128" s="21" t="s">
        <v>63</v>
      </c>
      <c r="E128" s="23">
        <f t="shared" ref="E128:N128" si="70">E118*E$15</f>
        <v>32600.000000000004</v>
      </c>
      <c r="F128" s="23">
        <f t="shared" si="70"/>
        <v>75760</v>
      </c>
      <c r="G128" s="23">
        <f t="shared" si="70"/>
        <v>132882</v>
      </c>
      <c r="H128" s="23">
        <f t="shared" si="70"/>
        <v>208458.80000000002</v>
      </c>
      <c r="I128" s="23">
        <f t="shared" si="70"/>
        <v>308422.30000000005</v>
      </c>
      <c r="J128" s="23">
        <f t="shared" si="70"/>
        <v>440602.60800000007</v>
      </c>
      <c r="K128" s="23">
        <f t="shared" si="70"/>
        <v>615333.09380000015</v>
      </c>
      <c r="L128" s="23">
        <f t="shared" si="70"/>
        <v>846247.63636</v>
      </c>
      <c r="M128" s="23">
        <f t="shared" si="70"/>
        <v>1151330.9260140001</v>
      </c>
      <c r="N128" s="23">
        <f t="shared" si="70"/>
        <v>1554301.9021880003</v>
      </c>
    </row>
    <row r="129" spans="2:18" ht="15" customHeight="1" x14ac:dyDescent="0.45">
      <c r="B129" s="1"/>
      <c r="C129" s="1"/>
      <c r="D129" s="48"/>
      <c r="E129" s="11"/>
      <c r="F129" s="11"/>
      <c r="G129" s="11"/>
      <c r="H129" s="11"/>
      <c r="I129" s="11"/>
      <c r="J129" s="11"/>
      <c r="K129" s="11"/>
      <c r="L129" s="11"/>
      <c r="M129" s="11"/>
      <c r="N129" s="11"/>
    </row>
    <row r="130" spans="2:18" ht="15" customHeight="1" x14ac:dyDescent="0.45">
      <c r="B130" s="123" t="s">
        <v>41</v>
      </c>
      <c r="C130" s="123" t="s">
        <v>75</v>
      </c>
      <c r="D130" s="123" t="s">
        <v>74</v>
      </c>
      <c r="E130" s="89" t="s">
        <v>3</v>
      </c>
      <c r="F130" s="89" t="s">
        <v>4</v>
      </c>
      <c r="G130" s="89" t="s">
        <v>5</v>
      </c>
      <c r="H130" s="89" t="s">
        <v>6</v>
      </c>
      <c r="I130" s="89" t="s">
        <v>7</v>
      </c>
      <c r="J130" s="89" t="s">
        <v>8</v>
      </c>
      <c r="K130" s="89" t="s">
        <v>9</v>
      </c>
      <c r="L130" s="89" t="s">
        <v>10</v>
      </c>
      <c r="M130" s="89" t="s">
        <v>11</v>
      </c>
      <c r="N130" s="89" t="s">
        <v>12</v>
      </c>
    </row>
    <row r="131" spans="2:18" ht="15" customHeight="1" x14ac:dyDescent="0.45">
      <c r="B131" s="124"/>
      <c r="C131" s="124"/>
      <c r="D131" s="124"/>
      <c r="E131" s="90"/>
      <c r="F131" s="90"/>
      <c r="G131" s="90"/>
      <c r="H131" s="90"/>
      <c r="I131" s="90"/>
      <c r="J131" s="90"/>
      <c r="K131" s="90"/>
      <c r="L131" s="90"/>
      <c r="M131" s="90"/>
      <c r="N131" s="90"/>
    </row>
    <row r="132" spans="2:18" s="5" customFormat="1" ht="15" customHeight="1" x14ac:dyDescent="0.45">
      <c r="B132" s="106" t="s">
        <v>16</v>
      </c>
      <c r="C132" s="120">
        <v>20000</v>
      </c>
      <c r="D132" s="59" t="s">
        <v>19</v>
      </c>
      <c r="E132" s="29">
        <f>E$90*$C132/20</f>
        <v>230.76923076923077</v>
      </c>
      <c r="F132" s="29">
        <f t="shared" ref="F132:N132" si="71">F$90*$C132/20</f>
        <v>177.51479289940826</v>
      </c>
      <c r="G132" s="29">
        <f t="shared" si="71"/>
        <v>136.54984069185249</v>
      </c>
      <c r="H132" s="29">
        <f t="shared" si="71"/>
        <v>105.03833899373274</v>
      </c>
      <c r="I132" s="29">
        <f t="shared" si="71"/>
        <v>80.798722302871326</v>
      </c>
      <c r="J132" s="29">
        <f t="shared" si="71"/>
        <v>62.152863309901115</v>
      </c>
      <c r="K132" s="29">
        <f t="shared" si="71"/>
        <v>47.809894853769961</v>
      </c>
      <c r="L132" s="29">
        <f t="shared" si="71"/>
        <v>36.77684219520772</v>
      </c>
      <c r="M132" s="29">
        <f t="shared" si="71"/>
        <v>28.289878611698185</v>
      </c>
      <c r="N132" s="29">
        <f t="shared" si="71"/>
        <v>21.761445085921704</v>
      </c>
      <c r="P132" s="2"/>
      <c r="Q132" s="2"/>
      <c r="R132" s="2"/>
    </row>
    <row r="133" spans="2:18" s="5" customFormat="1" ht="15" customHeight="1" x14ac:dyDescent="0.45">
      <c r="B133" s="114"/>
      <c r="C133" s="121"/>
      <c r="D133" s="21" t="s">
        <v>22</v>
      </c>
      <c r="E133" s="29"/>
      <c r="F133" s="29"/>
      <c r="G133" s="29"/>
      <c r="H133" s="29"/>
      <c r="I133" s="29">
        <f>SUM(E132:I132)/5</f>
        <v>146.13418513141912</v>
      </c>
      <c r="J133" s="29"/>
      <c r="K133" s="29"/>
      <c r="L133" s="29"/>
      <c r="M133" s="29"/>
      <c r="N133" s="29">
        <f>SUM(E132:N132)/10</f>
        <v>92.746184971359426</v>
      </c>
      <c r="P133" s="2"/>
      <c r="Q133" s="2"/>
      <c r="R133" s="2"/>
    </row>
    <row r="134" spans="2:18" s="5" customFormat="1" ht="15" customHeight="1" x14ac:dyDescent="0.45">
      <c r="B134" s="114"/>
      <c r="C134" s="121"/>
      <c r="D134" s="21" t="s">
        <v>55</v>
      </c>
      <c r="E134" s="29">
        <f>E$91*$C132/20</f>
        <v>230.76923076923077</v>
      </c>
      <c r="F134" s="29">
        <f t="shared" ref="F134:N134" si="72">F$91*$C132/20</f>
        <v>408.28402366863907</v>
      </c>
      <c r="G134" s="29">
        <f t="shared" si="72"/>
        <v>544.83386436049148</v>
      </c>
      <c r="H134" s="29">
        <f t="shared" si="72"/>
        <v>649.87220335422421</v>
      </c>
      <c r="I134" s="29">
        <f t="shared" si="72"/>
        <v>730.67092565709549</v>
      </c>
      <c r="J134" s="29">
        <f t="shared" si="72"/>
        <v>792.82378896699663</v>
      </c>
      <c r="K134" s="29">
        <f t="shared" si="72"/>
        <v>840.63368382076681</v>
      </c>
      <c r="L134" s="29">
        <f t="shared" si="72"/>
        <v>877.41052601597437</v>
      </c>
      <c r="M134" s="29">
        <f t="shared" si="72"/>
        <v>905.7004046276727</v>
      </c>
      <c r="N134" s="29">
        <f t="shared" si="72"/>
        <v>927.46184971359435</v>
      </c>
      <c r="P134" s="2"/>
      <c r="Q134" s="2"/>
      <c r="R134" s="2"/>
    </row>
    <row r="135" spans="2:18" s="5" customFormat="1" ht="15" customHeight="1" x14ac:dyDescent="0.45">
      <c r="B135" s="114"/>
      <c r="C135" s="121">
        <v>400000</v>
      </c>
      <c r="D135" s="59" t="s">
        <v>19</v>
      </c>
      <c r="E135" s="29">
        <f>E$90*$C135/20</f>
        <v>4615.3846153846152</v>
      </c>
      <c r="F135" s="29">
        <f t="shared" ref="F135:N135" si="73">F$90*$C135/20</f>
        <v>3550.2958579881647</v>
      </c>
      <c r="G135" s="29">
        <f t="shared" si="73"/>
        <v>2730.99681383705</v>
      </c>
      <c r="H135" s="29">
        <f t="shared" si="73"/>
        <v>2100.7667798746543</v>
      </c>
      <c r="I135" s="29">
        <f t="shared" si="73"/>
        <v>1615.9744460574266</v>
      </c>
      <c r="J135" s="29">
        <f t="shared" si="73"/>
        <v>1243.057266198022</v>
      </c>
      <c r="K135" s="29">
        <f t="shared" si="73"/>
        <v>956.19789707539928</v>
      </c>
      <c r="L135" s="29">
        <f t="shared" si="73"/>
        <v>735.53684390415424</v>
      </c>
      <c r="M135" s="29">
        <f t="shared" si="73"/>
        <v>565.79757223396359</v>
      </c>
      <c r="N135" s="29">
        <f t="shared" si="73"/>
        <v>435.22890171843409</v>
      </c>
      <c r="P135" s="2"/>
      <c r="Q135" s="2"/>
      <c r="R135" s="2"/>
    </row>
    <row r="136" spans="2:18" s="5" customFormat="1" ht="15" customHeight="1" x14ac:dyDescent="0.45">
      <c r="B136" s="114"/>
      <c r="C136" s="121"/>
      <c r="D136" s="21" t="s">
        <v>22</v>
      </c>
      <c r="E136" s="29"/>
      <c r="F136" s="29"/>
      <c r="G136" s="29"/>
      <c r="H136" s="29"/>
      <c r="I136" s="29">
        <f>SUM(E135:I135)/5</f>
        <v>2922.683702628382</v>
      </c>
      <c r="J136" s="29"/>
      <c r="K136" s="29"/>
      <c r="L136" s="29"/>
      <c r="M136" s="29"/>
      <c r="N136" s="29">
        <f>SUM(E135:N135)/10</f>
        <v>1854.9236994271887</v>
      </c>
      <c r="P136" s="2"/>
      <c r="Q136" s="2"/>
      <c r="R136" s="2"/>
    </row>
    <row r="137" spans="2:18" s="5" customFormat="1" ht="15" customHeight="1" x14ac:dyDescent="0.45">
      <c r="B137" s="114"/>
      <c r="C137" s="121"/>
      <c r="D137" s="21" t="s">
        <v>55</v>
      </c>
      <c r="E137" s="29">
        <f>E$91*$C135/20</f>
        <v>4615.3846153846152</v>
      </c>
      <c r="F137" s="29">
        <f t="shared" ref="F137:N137" si="74">F$91*$C135/20</f>
        <v>8165.6804733727813</v>
      </c>
      <c r="G137" s="29">
        <f t="shared" si="74"/>
        <v>10896.67728720983</v>
      </c>
      <c r="H137" s="29">
        <f t="shared" si="74"/>
        <v>12997.444067084485</v>
      </c>
      <c r="I137" s="29">
        <f t="shared" si="74"/>
        <v>14613.418513141911</v>
      </c>
      <c r="J137" s="29">
        <f t="shared" si="74"/>
        <v>15856.475779339933</v>
      </c>
      <c r="K137" s="29">
        <f t="shared" si="74"/>
        <v>16812.673676415336</v>
      </c>
      <c r="L137" s="29">
        <f t="shared" si="74"/>
        <v>17548.210520319488</v>
      </c>
      <c r="M137" s="29">
        <f t="shared" si="74"/>
        <v>18114.008092553453</v>
      </c>
      <c r="N137" s="29">
        <f t="shared" si="74"/>
        <v>18549.236994271887</v>
      </c>
      <c r="P137" s="2"/>
      <c r="Q137" s="2"/>
      <c r="R137" s="2"/>
    </row>
    <row r="138" spans="2:18" s="5" customFormat="1" ht="15" customHeight="1" x14ac:dyDescent="0.45">
      <c r="B138" s="113"/>
      <c r="C138" s="122">
        <v>1000000</v>
      </c>
      <c r="D138" s="17" t="s">
        <v>19</v>
      </c>
      <c r="E138" s="31">
        <f>E$90*$C$138/20</f>
        <v>11538.461538461539</v>
      </c>
      <c r="F138" s="31">
        <f t="shared" ref="F138:N138" si="75">F$90*$C$138/20</f>
        <v>8875.7396449704138</v>
      </c>
      <c r="G138" s="31">
        <f t="shared" si="75"/>
        <v>6827.4920345926248</v>
      </c>
      <c r="H138" s="31">
        <f t="shared" si="75"/>
        <v>5251.9169496866361</v>
      </c>
      <c r="I138" s="31">
        <f t="shared" si="75"/>
        <v>4039.9361151435669</v>
      </c>
      <c r="J138" s="31">
        <f t="shared" si="75"/>
        <v>3107.6431654950552</v>
      </c>
      <c r="K138" s="31">
        <f t="shared" si="75"/>
        <v>2390.4947426884983</v>
      </c>
      <c r="L138" s="31">
        <f t="shared" si="75"/>
        <v>1838.8421097603859</v>
      </c>
      <c r="M138" s="31">
        <f t="shared" si="75"/>
        <v>1414.4939305849091</v>
      </c>
      <c r="N138" s="31">
        <f t="shared" si="75"/>
        <v>1088.0722542960852</v>
      </c>
      <c r="P138" s="2"/>
      <c r="Q138" s="2"/>
      <c r="R138" s="2"/>
    </row>
    <row r="139" spans="2:18" s="5" customFormat="1" ht="15" customHeight="1" x14ac:dyDescent="0.45">
      <c r="B139" s="113"/>
      <c r="C139" s="122"/>
      <c r="D139" s="17" t="s">
        <v>22</v>
      </c>
      <c r="E139" s="31"/>
      <c r="F139" s="31"/>
      <c r="G139" s="31"/>
      <c r="H139" s="31"/>
      <c r="I139" s="31">
        <f>SUM(E138:I138)/5</f>
        <v>7306.7092565709563</v>
      </c>
      <c r="J139" s="31"/>
      <c r="K139" s="31"/>
      <c r="L139" s="31"/>
      <c r="M139" s="31"/>
      <c r="N139" s="31">
        <f>SUM(E138:N138)/10</f>
        <v>4637.3092485679717</v>
      </c>
      <c r="P139" s="2"/>
      <c r="Q139" s="2"/>
      <c r="R139" s="2"/>
    </row>
    <row r="140" spans="2:18" s="5" customFormat="1" ht="15" customHeight="1" x14ac:dyDescent="0.45">
      <c r="B140" s="113"/>
      <c r="C140" s="122"/>
      <c r="D140" s="17" t="s">
        <v>55</v>
      </c>
      <c r="E140" s="31">
        <f>E$91*$C138/20</f>
        <v>11538.461538461539</v>
      </c>
      <c r="F140" s="31">
        <f t="shared" ref="F140:N140" si="76">F$91*$C138/20</f>
        <v>20414.201183431953</v>
      </c>
      <c r="G140" s="31">
        <f t="shared" si="76"/>
        <v>27241.693218024575</v>
      </c>
      <c r="H140" s="31">
        <f t="shared" si="76"/>
        <v>32493.610167711209</v>
      </c>
      <c r="I140" s="31">
        <f t="shared" si="76"/>
        <v>36533.546282854782</v>
      </c>
      <c r="J140" s="31">
        <f t="shared" si="76"/>
        <v>39641.189448349833</v>
      </c>
      <c r="K140" s="31">
        <f t="shared" si="76"/>
        <v>42031.684191038337</v>
      </c>
      <c r="L140" s="31">
        <f t="shared" si="76"/>
        <v>43870.526300798716</v>
      </c>
      <c r="M140" s="31">
        <f t="shared" si="76"/>
        <v>45285.020231383634</v>
      </c>
      <c r="N140" s="31">
        <f t="shared" si="76"/>
        <v>46373.092485679714</v>
      </c>
      <c r="P140" s="2"/>
      <c r="Q140" s="2"/>
      <c r="R140" s="2"/>
    </row>
    <row r="141" spans="2:18" s="5" customFormat="1" ht="15" customHeight="1" x14ac:dyDescent="0.45">
      <c r="B141" s="113"/>
      <c r="C141" s="122">
        <v>2100000</v>
      </c>
      <c r="D141" s="17" t="s">
        <v>19</v>
      </c>
      <c r="E141" s="31">
        <f>E$90*$C141/20</f>
        <v>24230.76923076923</v>
      </c>
      <c r="F141" s="31">
        <f t="shared" ref="F141:N141" si="77">F$90*$C141/20</f>
        <v>18639.053254437866</v>
      </c>
      <c r="G141" s="31">
        <f t="shared" si="77"/>
        <v>14337.733272644513</v>
      </c>
      <c r="H141" s="31">
        <f t="shared" si="77"/>
        <v>11029.025594341936</v>
      </c>
      <c r="I141" s="31">
        <f t="shared" si="77"/>
        <v>8483.8658418014893</v>
      </c>
      <c r="J141" s="31">
        <f t="shared" si="77"/>
        <v>6526.050647539616</v>
      </c>
      <c r="K141" s="31">
        <f t="shared" si="77"/>
        <v>5020.0389596458463</v>
      </c>
      <c r="L141" s="31">
        <f t="shared" si="77"/>
        <v>3861.5684304968099</v>
      </c>
      <c r="M141" s="31">
        <f t="shared" si="77"/>
        <v>2970.437254228309</v>
      </c>
      <c r="N141" s="31">
        <f t="shared" si="77"/>
        <v>2284.951734021779</v>
      </c>
      <c r="P141" s="2"/>
      <c r="Q141" s="2"/>
      <c r="R141" s="2"/>
    </row>
    <row r="142" spans="2:18" s="5" customFormat="1" ht="15" customHeight="1" x14ac:dyDescent="0.45">
      <c r="B142" s="113"/>
      <c r="C142" s="122"/>
      <c r="D142" s="17" t="s">
        <v>22</v>
      </c>
      <c r="E142" s="31"/>
      <c r="F142" s="31"/>
      <c r="G142" s="31"/>
      <c r="H142" s="31"/>
      <c r="I142" s="31">
        <f>SUM(E141:I141)/5</f>
        <v>15344.089438799007</v>
      </c>
      <c r="J142" s="31"/>
      <c r="K142" s="31"/>
      <c r="L142" s="31"/>
      <c r="M142" s="31"/>
      <c r="N142" s="31">
        <f>SUM(E141:N141)/10</f>
        <v>9738.3494219927379</v>
      </c>
      <c r="P142" s="2"/>
      <c r="Q142" s="2"/>
      <c r="R142" s="2"/>
    </row>
    <row r="143" spans="2:18" s="5" customFormat="1" ht="15" customHeight="1" x14ac:dyDescent="0.45">
      <c r="B143" s="113"/>
      <c r="C143" s="122"/>
      <c r="D143" s="17" t="s">
        <v>55</v>
      </c>
      <c r="E143" s="31">
        <f>E$91*$C141/20</f>
        <v>24230.76923076923</v>
      </c>
      <c r="F143" s="31">
        <f t="shared" ref="F143:N143" si="78">F$91*$C141/20</f>
        <v>42869.8224852071</v>
      </c>
      <c r="G143" s="31">
        <f t="shared" si="78"/>
        <v>57207.555757851609</v>
      </c>
      <c r="H143" s="31">
        <f t="shared" si="78"/>
        <v>68236.581352193549</v>
      </c>
      <c r="I143" s="31">
        <f t="shared" si="78"/>
        <v>76720.447193995031</v>
      </c>
      <c r="J143" s="31">
        <f t="shared" si="78"/>
        <v>83246.497841534641</v>
      </c>
      <c r="K143" s="31">
        <f t="shared" si="78"/>
        <v>88266.536801180511</v>
      </c>
      <c r="L143" s="31">
        <f t="shared" si="78"/>
        <v>92128.105231677313</v>
      </c>
      <c r="M143" s="31">
        <f t="shared" si="78"/>
        <v>95098.542485905622</v>
      </c>
      <c r="N143" s="31">
        <f t="shared" si="78"/>
        <v>97383.494219927408</v>
      </c>
      <c r="P143" s="2"/>
      <c r="Q143" s="2"/>
      <c r="R143" s="2"/>
    </row>
    <row r="144" spans="2:18" s="5" customFormat="1" ht="15" customHeight="1" x14ac:dyDescent="0.45">
      <c r="B144" s="114" t="s">
        <v>17</v>
      </c>
      <c r="C144" s="121">
        <v>20000</v>
      </c>
      <c r="D144" s="59" t="s">
        <v>19</v>
      </c>
      <c r="E144" s="29">
        <f>E$100*$C144/20</f>
        <v>2</v>
      </c>
      <c r="F144" s="29">
        <f t="shared" ref="F144:N144" si="79">F$100*$C144/20</f>
        <v>2</v>
      </c>
      <c r="G144" s="29">
        <f t="shared" si="79"/>
        <v>2</v>
      </c>
      <c r="H144" s="29">
        <f t="shared" si="79"/>
        <v>2</v>
      </c>
      <c r="I144" s="29">
        <f t="shared" si="79"/>
        <v>2</v>
      </c>
      <c r="J144" s="29">
        <f t="shared" si="79"/>
        <v>2</v>
      </c>
      <c r="K144" s="29">
        <f t="shared" si="79"/>
        <v>2</v>
      </c>
      <c r="L144" s="29">
        <f t="shared" si="79"/>
        <v>2</v>
      </c>
      <c r="M144" s="29">
        <f t="shared" si="79"/>
        <v>2</v>
      </c>
      <c r="N144" s="29">
        <f t="shared" si="79"/>
        <v>2</v>
      </c>
      <c r="P144" s="2"/>
      <c r="Q144" s="2"/>
      <c r="R144" s="2"/>
    </row>
    <row r="145" spans="2:18" s="5" customFormat="1" ht="15" customHeight="1" x14ac:dyDescent="0.45">
      <c r="B145" s="114"/>
      <c r="C145" s="121"/>
      <c r="D145" s="21" t="s">
        <v>22</v>
      </c>
      <c r="E145" s="29"/>
      <c r="F145" s="29"/>
      <c r="G145" s="29"/>
      <c r="H145" s="29"/>
      <c r="I145" s="29">
        <f>SUM(E144:I144)/5</f>
        <v>2</v>
      </c>
      <c r="J145" s="29"/>
      <c r="K145" s="29"/>
      <c r="L145" s="29"/>
      <c r="M145" s="29"/>
      <c r="N145" s="29">
        <f>SUM(E144:N144)/10</f>
        <v>2</v>
      </c>
      <c r="P145" s="2"/>
      <c r="Q145" s="2"/>
      <c r="R145" s="2"/>
    </row>
    <row r="146" spans="2:18" s="5" customFormat="1" ht="15" customHeight="1" x14ac:dyDescent="0.45">
      <c r="B146" s="114"/>
      <c r="C146" s="121"/>
      <c r="D146" s="21" t="s">
        <v>55</v>
      </c>
      <c r="E146" s="29">
        <f>E$101*$C144/20</f>
        <v>2</v>
      </c>
      <c r="F146" s="29">
        <f t="shared" ref="F146:N146" si="80">F$101*$C144/20</f>
        <v>4</v>
      </c>
      <c r="G146" s="29">
        <f t="shared" si="80"/>
        <v>6</v>
      </c>
      <c r="H146" s="29">
        <f t="shared" si="80"/>
        <v>8</v>
      </c>
      <c r="I146" s="29">
        <f t="shared" si="80"/>
        <v>10.000000000000002</v>
      </c>
      <c r="J146" s="29">
        <f t="shared" si="80"/>
        <v>12.000000000000002</v>
      </c>
      <c r="K146" s="29">
        <f t="shared" si="80"/>
        <v>14.000000000000004</v>
      </c>
      <c r="L146" s="29">
        <f t="shared" si="80"/>
        <v>16</v>
      </c>
      <c r="M146" s="29">
        <f t="shared" si="80"/>
        <v>18</v>
      </c>
      <c r="N146" s="29">
        <f t="shared" si="80"/>
        <v>20</v>
      </c>
      <c r="P146" s="2"/>
      <c r="Q146" s="2"/>
      <c r="R146" s="2"/>
    </row>
    <row r="147" spans="2:18" s="5" customFormat="1" ht="15" customHeight="1" x14ac:dyDescent="0.45">
      <c r="B147" s="114"/>
      <c r="C147" s="121">
        <v>400000</v>
      </c>
      <c r="D147" s="59" t="s">
        <v>19</v>
      </c>
      <c r="E147" s="29">
        <f>E$100*$C147/20</f>
        <v>40</v>
      </c>
      <c r="F147" s="29">
        <f t="shared" ref="F147:N147" si="81">F$100*$C147/20</f>
        <v>40</v>
      </c>
      <c r="G147" s="29">
        <f t="shared" si="81"/>
        <v>40</v>
      </c>
      <c r="H147" s="29">
        <f t="shared" si="81"/>
        <v>40</v>
      </c>
      <c r="I147" s="29">
        <f t="shared" si="81"/>
        <v>40</v>
      </c>
      <c r="J147" s="29">
        <f t="shared" si="81"/>
        <v>40</v>
      </c>
      <c r="K147" s="29">
        <f t="shared" si="81"/>
        <v>40</v>
      </c>
      <c r="L147" s="29">
        <f t="shared" si="81"/>
        <v>40</v>
      </c>
      <c r="M147" s="29">
        <f t="shared" si="81"/>
        <v>40</v>
      </c>
      <c r="N147" s="29">
        <f t="shared" si="81"/>
        <v>40</v>
      </c>
      <c r="P147" s="2"/>
      <c r="Q147" s="2"/>
      <c r="R147" s="2"/>
    </row>
    <row r="148" spans="2:18" s="5" customFormat="1" ht="15" customHeight="1" x14ac:dyDescent="0.45">
      <c r="B148" s="114"/>
      <c r="C148" s="121"/>
      <c r="D148" s="21" t="s">
        <v>22</v>
      </c>
      <c r="E148" s="29"/>
      <c r="F148" s="29"/>
      <c r="G148" s="29"/>
      <c r="H148" s="29"/>
      <c r="I148" s="29">
        <f>SUM(E147:I147)/5</f>
        <v>40</v>
      </c>
      <c r="J148" s="29"/>
      <c r="K148" s="29"/>
      <c r="L148" s="29"/>
      <c r="M148" s="29"/>
      <c r="N148" s="29">
        <f>SUM(E147:N147)/10</f>
        <v>40</v>
      </c>
      <c r="P148" s="2"/>
      <c r="Q148" s="2"/>
      <c r="R148" s="2"/>
    </row>
    <row r="149" spans="2:18" s="5" customFormat="1" ht="15" customHeight="1" x14ac:dyDescent="0.45">
      <c r="B149" s="114"/>
      <c r="C149" s="121"/>
      <c r="D149" s="21" t="s">
        <v>55</v>
      </c>
      <c r="E149" s="29">
        <f>E$101*$C147/20</f>
        <v>40</v>
      </c>
      <c r="F149" s="29">
        <f t="shared" ref="F149:N149" si="82">F$101*$C147/20</f>
        <v>80</v>
      </c>
      <c r="G149" s="29">
        <f t="shared" si="82"/>
        <v>120</v>
      </c>
      <c r="H149" s="29">
        <f t="shared" si="82"/>
        <v>160</v>
      </c>
      <c r="I149" s="29">
        <f t="shared" si="82"/>
        <v>200.00000000000006</v>
      </c>
      <c r="J149" s="29">
        <f t="shared" si="82"/>
        <v>240.00000000000006</v>
      </c>
      <c r="K149" s="29">
        <f t="shared" si="82"/>
        <v>280.00000000000006</v>
      </c>
      <c r="L149" s="29">
        <f t="shared" si="82"/>
        <v>320</v>
      </c>
      <c r="M149" s="29">
        <f t="shared" si="82"/>
        <v>359.99999999999994</v>
      </c>
      <c r="N149" s="29">
        <f t="shared" si="82"/>
        <v>400</v>
      </c>
      <c r="P149" s="2"/>
      <c r="Q149" s="2"/>
      <c r="R149" s="2"/>
    </row>
    <row r="150" spans="2:18" s="5" customFormat="1" ht="15" customHeight="1" x14ac:dyDescent="0.45">
      <c r="B150" s="114"/>
      <c r="C150" s="122">
        <v>1000000</v>
      </c>
      <c r="D150" s="17" t="s">
        <v>19</v>
      </c>
      <c r="E150" s="31">
        <f>E$100*$C$138/20</f>
        <v>100</v>
      </c>
      <c r="F150" s="31">
        <f t="shared" ref="F150:N150" si="83">F$100*$C$138/20</f>
        <v>100</v>
      </c>
      <c r="G150" s="31">
        <f t="shared" si="83"/>
        <v>100</v>
      </c>
      <c r="H150" s="31">
        <f t="shared" si="83"/>
        <v>100</v>
      </c>
      <c r="I150" s="31">
        <f t="shared" si="83"/>
        <v>100</v>
      </c>
      <c r="J150" s="31">
        <f t="shared" si="83"/>
        <v>100</v>
      </c>
      <c r="K150" s="31">
        <f t="shared" si="83"/>
        <v>100</v>
      </c>
      <c r="L150" s="31">
        <f t="shared" si="83"/>
        <v>100</v>
      </c>
      <c r="M150" s="31">
        <f t="shared" si="83"/>
        <v>100</v>
      </c>
      <c r="N150" s="31">
        <f t="shared" si="83"/>
        <v>100</v>
      </c>
      <c r="P150" s="2"/>
      <c r="Q150" s="2"/>
      <c r="R150" s="2"/>
    </row>
    <row r="151" spans="2:18" s="5" customFormat="1" ht="15" customHeight="1" x14ac:dyDescent="0.45">
      <c r="B151" s="114"/>
      <c r="C151" s="122"/>
      <c r="D151" s="17" t="s">
        <v>22</v>
      </c>
      <c r="E151" s="31"/>
      <c r="F151" s="31"/>
      <c r="G151" s="31"/>
      <c r="H151" s="31"/>
      <c r="I151" s="31">
        <f>SUM(E150:I150)/5</f>
        <v>100</v>
      </c>
      <c r="J151" s="31"/>
      <c r="K151" s="31"/>
      <c r="L151" s="31"/>
      <c r="M151" s="31"/>
      <c r="N151" s="31">
        <f>SUM(E150:N150)/10</f>
        <v>100</v>
      </c>
      <c r="P151" s="2"/>
      <c r="Q151" s="2"/>
      <c r="R151" s="2"/>
    </row>
    <row r="152" spans="2:18" s="5" customFormat="1" ht="15" customHeight="1" x14ac:dyDescent="0.45">
      <c r="B152" s="114"/>
      <c r="C152" s="122"/>
      <c r="D152" s="17" t="s">
        <v>55</v>
      </c>
      <c r="E152" s="31">
        <f>E$101*$C150/20</f>
        <v>100</v>
      </c>
      <c r="F152" s="31">
        <f t="shared" ref="F152:N152" si="84">F$101*$C150/20</f>
        <v>200</v>
      </c>
      <c r="G152" s="31">
        <f t="shared" si="84"/>
        <v>300</v>
      </c>
      <c r="H152" s="31">
        <f t="shared" si="84"/>
        <v>400</v>
      </c>
      <c r="I152" s="31">
        <f t="shared" si="84"/>
        <v>500.00000000000011</v>
      </c>
      <c r="J152" s="31">
        <f t="shared" si="84"/>
        <v>600.00000000000011</v>
      </c>
      <c r="K152" s="31">
        <f t="shared" si="84"/>
        <v>700.00000000000011</v>
      </c>
      <c r="L152" s="31">
        <f t="shared" si="84"/>
        <v>800</v>
      </c>
      <c r="M152" s="31">
        <f t="shared" si="84"/>
        <v>900</v>
      </c>
      <c r="N152" s="31">
        <f t="shared" si="84"/>
        <v>1000</v>
      </c>
      <c r="P152" s="2"/>
      <c r="Q152" s="2"/>
      <c r="R152" s="2"/>
    </row>
    <row r="153" spans="2:18" s="5" customFormat="1" ht="15" customHeight="1" x14ac:dyDescent="0.45">
      <c r="B153" s="114"/>
      <c r="C153" s="122">
        <v>2100000</v>
      </c>
      <c r="D153" s="17" t="s">
        <v>19</v>
      </c>
      <c r="E153" s="31">
        <f>E$100*$C153/20</f>
        <v>210</v>
      </c>
      <c r="F153" s="31">
        <f t="shared" ref="F153:N153" si="85">F$100*$C153/20</f>
        <v>210</v>
      </c>
      <c r="G153" s="31">
        <f t="shared" si="85"/>
        <v>210</v>
      </c>
      <c r="H153" s="31">
        <f t="shared" si="85"/>
        <v>210</v>
      </c>
      <c r="I153" s="31">
        <f t="shared" si="85"/>
        <v>210</v>
      </c>
      <c r="J153" s="31">
        <f t="shared" si="85"/>
        <v>210</v>
      </c>
      <c r="K153" s="31">
        <f t="shared" si="85"/>
        <v>210</v>
      </c>
      <c r="L153" s="31">
        <f t="shared" si="85"/>
        <v>210</v>
      </c>
      <c r="M153" s="31">
        <f t="shared" si="85"/>
        <v>210</v>
      </c>
      <c r="N153" s="31">
        <f t="shared" si="85"/>
        <v>210</v>
      </c>
      <c r="P153" s="2"/>
      <c r="Q153" s="2"/>
      <c r="R153" s="2"/>
    </row>
    <row r="154" spans="2:18" s="5" customFormat="1" ht="15" customHeight="1" x14ac:dyDescent="0.45">
      <c r="B154" s="114"/>
      <c r="C154" s="122"/>
      <c r="D154" s="17" t="s">
        <v>22</v>
      </c>
      <c r="E154" s="31"/>
      <c r="F154" s="31"/>
      <c r="G154" s="31"/>
      <c r="H154" s="31"/>
      <c r="I154" s="31">
        <f>SUM(E153:I153)/5</f>
        <v>210</v>
      </c>
      <c r="J154" s="31"/>
      <c r="K154" s="31"/>
      <c r="L154" s="31"/>
      <c r="M154" s="31"/>
      <c r="N154" s="31">
        <f>SUM(E153:N153)/10</f>
        <v>210</v>
      </c>
      <c r="P154" s="2"/>
      <c r="Q154" s="2"/>
      <c r="R154" s="2"/>
    </row>
    <row r="155" spans="2:18" s="5" customFormat="1" ht="15" customHeight="1" x14ac:dyDescent="0.45">
      <c r="B155" s="114"/>
      <c r="C155" s="122"/>
      <c r="D155" s="17" t="s">
        <v>55</v>
      </c>
      <c r="E155" s="31">
        <f>E$101*$C153/20</f>
        <v>210</v>
      </c>
      <c r="F155" s="31">
        <f t="shared" ref="F155:N155" si="86">F$101*$C153/20</f>
        <v>420</v>
      </c>
      <c r="G155" s="31">
        <f t="shared" si="86"/>
        <v>630</v>
      </c>
      <c r="H155" s="31">
        <f t="shared" si="86"/>
        <v>840</v>
      </c>
      <c r="I155" s="31">
        <f t="shared" si="86"/>
        <v>1050.0000000000002</v>
      </c>
      <c r="J155" s="31">
        <f t="shared" si="86"/>
        <v>1260.0000000000002</v>
      </c>
      <c r="K155" s="31">
        <f t="shared" si="86"/>
        <v>1470.0000000000002</v>
      </c>
      <c r="L155" s="31">
        <f t="shared" si="86"/>
        <v>1680</v>
      </c>
      <c r="M155" s="31">
        <f t="shared" si="86"/>
        <v>1890</v>
      </c>
      <c r="N155" s="31">
        <f t="shared" si="86"/>
        <v>2100</v>
      </c>
      <c r="P155" s="2"/>
      <c r="Q155" s="2"/>
      <c r="R155" s="2"/>
    </row>
    <row r="156" spans="2:18" s="5" customFormat="1" ht="15" customHeight="1" x14ac:dyDescent="0.45">
      <c r="B156" s="114" t="s">
        <v>18</v>
      </c>
      <c r="C156" s="121">
        <v>20000</v>
      </c>
      <c r="D156" s="59" t="s">
        <v>19</v>
      </c>
      <c r="E156" s="29">
        <f>E132+E144</f>
        <v>232.76923076923077</v>
      </c>
      <c r="F156" s="29">
        <f t="shared" ref="F156:N156" si="87">F132+F144</f>
        <v>179.51479289940826</v>
      </c>
      <c r="G156" s="29">
        <f t="shared" si="87"/>
        <v>138.54984069185249</v>
      </c>
      <c r="H156" s="29">
        <f t="shared" si="87"/>
        <v>107.03833899373274</v>
      </c>
      <c r="I156" s="29">
        <f t="shared" si="87"/>
        <v>82.798722302871326</v>
      </c>
      <c r="J156" s="29">
        <f t="shared" si="87"/>
        <v>64.152863309901107</v>
      </c>
      <c r="K156" s="29">
        <f t="shared" si="87"/>
        <v>49.809894853769961</v>
      </c>
      <c r="L156" s="29">
        <f t="shared" si="87"/>
        <v>38.77684219520772</v>
      </c>
      <c r="M156" s="29">
        <f t="shared" si="87"/>
        <v>30.289878611698185</v>
      </c>
      <c r="N156" s="29">
        <f t="shared" si="87"/>
        <v>23.761445085921704</v>
      </c>
      <c r="P156" s="2"/>
      <c r="Q156" s="2"/>
      <c r="R156" s="2"/>
    </row>
    <row r="157" spans="2:18" s="5" customFormat="1" ht="15" customHeight="1" x14ac:dyDescent="0.45">
      <c r="B157" s="114"/>
      <c r="C157" s="121"/>
      <c r="D157" s="21" t="s">
        <v>22</v>
      </c>
      <c r="E157" s="29"/>
      <c r="F157" s="29"/>
      <c r="G157" s="29"/>
      <c r="H157" s="29"/>
      <c r="I157" s="30">
        <f>SUM(E156:I156)/5</f>
        <v>148.13418513141912</v>
      </c>
      <c r="J157" s="29"/>
      <c r="K157" s="29"/>
      <c r="L157" s="29"/>
      <c r="M157" s="29"/>
      <c r="N157" s="29">
        <f>SUM(E156:N156)/10</f>
        <v>94.746184971359426</v>
      </c>
      <c r="P157" s="2"/>
      <c r="Q157" s="2"/>
      <c r="R157" s="2"/>
    </row>
    <row r="158" spans="2:18" s="5" customFormat="1" ht="15" customHeight="1" x14ac:dyDescent="0.45">
      <c r="B158" s="114"/>
      <c r="C158" s="121"/>
      <c r="D158" s="21" t="s">
        <v>55</v>
      </c>
      <c r="E158" s="29">
        <f>E134+E146</f>
        <v>232.76923076923077</v>
      </c>
      <c r="F158" s="29">
        <f t="shared" ref="F158:N159" si="88">F134+F146</f>
        <v>412.28402366863907</v>
      </c>
      <c r="G158" s="29">
        <f t="shared" si="88"/>
        <v>550.83386436049148</v>
      </c>
      <c r="H158" s="29">
        <f t="shared" si="88"/>
        <v>657.87220335422421</v>
      </c>
      <c r="I158" s="30">
        <f t="shared" si="88"/>
        <v>740.67092565709549</v>
      </c>
      <c r="J158" s="29">
        <f t="shared" si="88"/>
        <v>804.82378896699663</v>
      </c>
      <c r="K158" s="29">
        <f t="shared" si="88"/>
        <v>854.63368382076681</v>
      </c>
      <c r="L158" s="29">
        <f t="shared" si="88"/>
        <v>893.41052601597437</v>
      </c>
      <c r="M158" s="29">
        <f t="shared" si="88"/>
        <v>923.7004046276727</v>
      </c>
      <c r="N158" s="29">
        <f t="shared" si="88"/>
        <v>947.46184971359435</v>
      </c>
      <c r="P158" s="2"/>
      <c r="Q158" s="2"/>
      <c r="R158" s="2"/>
    </row>
    <row r="159" spans="2:18" s="5" customFormat="1" ht="15" customHeight="1" x14ac:dyDescent="0.45">
      <c r="B159" s="114"/>
      <c r="C159" s="121">
        <v>400000</v>
      </c>
      <c r="D159" s="59" t="s">
        <v>19</v>
      </c>
      <c r="E159" s="29">
        <f>E135+E147</f>
        <v>4655.3846153846152</v>
      </c>
      <c r="F159" s="29">
        <f t="shared" si="88"/>
        <v>3590.2958579881647</v>
      </c>
      <c r="G159" s="29">
        <f t="shared" si="88"/>
        <v>2770.99681383705</v>
      </c>
      <c r="H159" s="29">
        <f t="shared" si="88"/>
        <v>2140.7667798746543</v>
      </c>
      <c r="I159" s="29">
        <f t="shared" si="88"/>
        <v>1655.9744460574266</v>
      </c>
      <c r="J159" s="29">
        <f t="shared" si="88"/>
        <v>1283.057266198022</v>
      </c>
      <c r="K159" s="29">
        <f t="shared" si="88"/>
        <v>996.19789707539928</v>
      </c>
      <c r="L159" s="29">
        <f t="shared" si="88"/>
        <v>775.53684390415424</v>
      </c>
      <c r="M159" s="29">
        <f t="shared" si="88"/>
        <v>605.79757223396359</v>
      </c>
      <c r="N159" s="29">
        <f t="shared" si="88"/>
        <v>475.22890171843409</v>
      </c>
      <c r="P159" s="2"/>
      <c r="Q159" s="2"/>
      <c r="R159" s="2"/>
    </row>
    <row r="160" spans="2:18" s="5" customFormat="1" ht="15" customHeight="1" x14ac:dyDescent="0.45">
      <c r="B160" s="114"/>
      <c r="C160" s="121"/>
      <c r="D160" s="21" t="s">
        <v>22</v>
      </c>
      <c r="E160" s="29"/>
      <c r="F160" s="29"/>
      <c r="G160" s="29"/>
      <c r="H160" s="29"/>
      <c r="I160" s="30">
        <f>SUM(E159:I159)/5</f>
        <v>2962.683702628382</v>
      </c>
      <c r="J160" s="29"/>
      <c r="K160" s="29"/>
      <c r="L160" s="29"/>
      <c r="M160" s="29"/>
      <c r="N160" s="29">
        <f>SUM(E159:N159)/10</f>
        <v>1894.9236994271887</v>
      </c>
      <c r="P160" s="2"/>
      <c r="Q160" s="2"/>
      <c r="R160" s="2"/>
    </row>
    <row r="161" spans="2:18" s="5" customFormat="1" ht="15" customHeight="1" x14ac:dyDescent="0.45">
      <c r="B161" s="114"/>
      <c r="C161" s="121"/>
      <c r="D161" s="21" t="s">
        <v>55</v>
      </c>
      <c r="E161" s="29">
        <f>E137+E149</f>
        <v>4655.3846153846152</v>
      </c>
      <c r="F161" s="29">
        <f t="shared" ref="F161:N162" si="89">F137+F149</f>
        <v>8245.6804733727804</v>
      </c>
      <c r="G161" s="29">
        <f t="shared" si="89"/>
        <v>11016.67728720983</v>
      </c>
      <c r="H161" s="29">
        <f t="shared" si="89"/>
        <v>13157.444067084485</v>
      </c>
      <c r="I161" s="30">
        <f t="shared" si="89"/>
        <v>14813.418513141911</v>
      </c>
      <c r="J161" s="29">
        <f t="shared" si="89"/>
        <v>16096.475779339933</v>
      </c>
      <c r="K161" s="29">
        <f t="shared" si="89"/>
        <v>17092.673676415336</v>
      </c>
      <c r="L161" s="29">
        <f t="shared" si="89"/>
        <v>17868.210520319488</v>
      </c>
      <c r="M161" s="29">
        <f t="shared" si="89"/>
        <v>18474.008092553453</v>
      </c>
      <c r="N161" s="29">
        <f t="shared" si="89"/>
        <v>18949.236994271887</v>
      </c>
      <c r="P161" s="2"/>
      <c r="Q161" s="2"/>
      <c r="R161" s="2"/>
    </row>
    <row r="162" spans="2:18" s="5" customFormat="1" ht="15" customHeight="1" x14ac:dyDescent="0.45">
      <c r="B162" s="114"/>
      <c r="C162" s="122">
        <v>1000000</v>
      </c>
      <c r="D162" s="17" t="s">
        <v>19</v>
      </c>
      <c r="E162" s="31">
        <f>E138+E150</f>
        <v>11638.461538461539</v>
      </c>
      <c r="F162" s="31">
        <f t="shared" si="89"/>
        <v>8975.7396449704138</v>
      </c>
      <c r="G162" s="31">
        <f t="shared" si="89"/>
        <v>6927.4920345926248</v>
      </c>
      <c r="H162" s="31">
        <f t="shared" si="89"/>
        <v>5351.9169496866361</v>
      </c>
      <c r="I162" s="31">
        <f t="shared" si="89"/>
        <v>4139.9361151435669</v>
      </c>
      <c r="J162" s="31">
        <f t="shared" si="89"/>
        <v>3207.6431654950552</v>
      </c>
      <c r="K162" s="31">
        <f t="shared" si="89"/>
        <v>2490.4947426884983</v>
      </c>
      <c r="L162" s="31">
        <f t="shared" si="89"/>
        <v>1938.8421097603859</v>
      </c>
      <c r="M162" s="31">
        <f t="shared" si="89"/>
        <v>1514.4939305849091</v>
      </c>
      <c r="N162" s="31">
        <f t="shared" si="89"/>
        <v>1188.0722542960852</v>
      </c>
      <c r="P162" s="2"/>
      <c r="Q162" s="2"/>
      <c r="R162" s="2"/>
    </row>
    <row r="163" spans="2:18" s="5" customFormat="1" ht="15" customHeight="1" x14ac:dyDescent="0.45">
      <c r="B163" s="114"/>
      <c r="C163" s="122"/>
      <c r="D163" s="17" t="s">
        <v>22</v>
      </c>
      <c r="E163" s="31"/>
      <c r="F163" s="31"/>
      <c r="G163" s="31"/>
      <c r="H163" s="31"/>
      <c r="I163" s="32">
        <f>SUM(E162:I162)/5</f>
        <v>7406.7092565709563</v>
      </c>
      <c r="J163" s="31"/>
      <c r="K163" s="31"/>
      <c r="L163" s="31"/>
      <c r="M163" s="31"/>
      <c r="N163" s="31">
        <f>SUM(E162:N162)/10</f>
        <v>4737.3092485679717</v>
      </c>
      <c r="P163" s="2"/>
      <c r="Q163" s="2"/>
      <c r="R163" s="2"/>
    </row>
    <row r="164" spans="2:18" s="5" customFormat="1" ht="15" customHeight="1" x14ac:dyDescent="0.45">
      <c r="B164" s="114"/>
      <c r="C164" s="122"/>
      <c r="D164" s="17" t="s">
        <v>55</v>
      </c>
      <c r="E164" s="31">
        <f>E140+E152</f>
        <v>11638.461538461539</v>
      </c>
      <c r="F164" s="31">
        <f t="shared" ref="F164:N165" si="90">F140+F152</f>
        <v>20614.201183431953</v>
      </c>
      <c r="G164" s="31">
        <f t="shared" si="90"/>
        <v>27541.693218024575</v>
      </c>
      <c r="H164" s="31">
        <f t="shared" si="90"/>
        <v>32893.610167711209</v>
      </c>
      <c r="I164" s="32">
        <f t="shared" si="90"/>
        <v>37033.546282854782</v>
      </c>
      <c r="J164" s="31">
        <f t="shared" si="90"/>
        <v>40241.189448349833</v>
      </c>
      <c r="K164" s="31">
        <f t="shared" si="90"/>
        <v>42731.684191038337</v>
      </c>
      <c r="L164" s="31">
        <f t="shared" si="90"/>
        <v>44670.526300798716</v>
      </c>
      <c r="M164" s="31">
        <f t="shared" si="90"/>
        <v>46185.020231383634</v>
      </c>
      <c r="N164" s="31">
        <f t="shared" si="90"/>
        <v>47373.092485679714</v>
      </c>
      <c r="P164" s="2"/>
      <c r="Q164" s="2"/>
      <c r="R164" s="2"/>
    </row>
    <row r="165" spans="2:18" s="5" customFormat="1" ht="15" customHeight="1" x14ac:dyDescent="0.45">
      <c r="B165" s="114"/>
      <c r="C165" s="122">
        <v>2100000</v>
      </c>
      <c r="D165" s="17" t="s">
        <v>19</v>
      </c>
      <c r="E165" s="31">
        <f>E141+E153</f>
        <v>24440.76923076923</v>
      </c>
      <c r="F165" s="31">
        <f t="shared" si="90"/>
        <v>18849.053254437866</v>
      </c>
      <c r="G165" s="31">
        <f t="shared" si="90"/>
        <v>14547.733272644513</v>
      </c>
      <c r="H165" s="31">
        <f t="shared" si="90"/>
        <v>11239.025594341936</v>
      </c>
      <c r="I165" s="31">
        <f t="shared" si="90"/>
        <v>8693.8658418014893</v>
      </c>
      <c r="J165" s="31">
        <f t="shared" si="90"/>
        <v>6736.050647539616</v>
      </c>
      <c r="K165" s="31">
        <f t="shared" si="90"/>
        <v>5230.0389596458463</v>
      </c>
      <c r="L165" s="31">
        <f t="shared" si="90"/>
        <v>4071.5684304968099</v>
      </c>
      <c r="M165" s="31">
        <f t="shared" si="90"/>
        <v>3180.437254228309</v>
      </c>
      <c r="N165" s="31">
        <f t="shared" si="90"/>
        <v>2494.951734021779</v>
      </c>
      <c r="P165" s="2"/>
      <c r="Q165" s="2"/>
      <c r="R165" s="2"/>
    </row>
    <row r="166" spans="2:18" s="5" customFormat="1" ht="15" customHeight="1" x14ac:dyDescent="0.45">
      <c r="B166" s="114"/>
      <c r="C166" s="122"/>
      <c r="D166" s="17" t="s">
        <v>22</v>
      </c>
      <c r="E166" s="31"/>
      <c r="F166" s="31"/>
      <c r="G166" s="31"/>
      <c r="H166" s="31"/>
      <c r="I166" s="32">
        <f>SUM(E165:I165)/5</f>
        <v>15554.089438799007</v>
      </c>
      <c r="J166" s="31"/>
      <c r="K166" s="31"/>
      <c r="L166" s="31"/>
      <c r="M166" s="31"/>
      <c r="N166" s="31">
        <f>SUM(E165:N165)/10</f>
        <v>9948.3494219927379</v>
      </c>
      <c r="P166" s="2"/>
      <c r="Q166" s="2"/>
      <c r="R166" s="2"/>
    </row>
    <row r="167" spans="2:18" s="5" customFormat="1" ht="15" customHeight="1" x14ac:dyDescent="0.45">
      <c r="B167" s="114"/>
      <c r="C167" s="122"/>
      <c r="D167" s="17" t="s">
        <v>55</v>
      </c>
      <c r="E167" s="31">
        <f>E143+E155</f>
        <v>24440.76923076923</v>
      </c>
      <c r="F167" s="31">
        <f t="shared" ref="F167:N167" si="91">F143+F155</f>
        <v>43289.8224852071</v>
      </c>
      <c r="G167" s="31">
        <f t="shared" si="91"/>
        <v>57837.555757851609</v>
      </c>
      <c r="H167" s="31">
        <f t="shared" si="91"/>
        <v>69076.581352193549</v>
      </c>
      <c r="I167" s="32">
        <f t="shared" si="91"/>
        <v>77770.447193995031</v>
      </c>
      <c r="J167" s="31">
        <f t="shared" si="91"/>
        <v>84506.497841534641</v>
      </c>
      <c r="K167" s="31">
        <f t="shared" si="91"/>
        <v>89736.536801180511</v>
      </c>
      <c r="L167" s="31">
        <f t="shared" si="91"/>
        <v>93808.105231677313</v>
      </c>
      <c r="M167" s="31">
        <f t="shared" si="91"/>
        <v>96988.542485905622</v>
      </c>
      <c r="N167" s="31">
        <f t="shared" si="91"/>
        <v>99483.494219927408</v>
      </c>
      <c r="P167" s="2"/>
      <c r="Q167" s="2"/>
      <c r="R167" s="2"/>
    </row>
    <row r="168" spans="2:18" s="5" customFormat="1" ht="15" customHeight="1" x14ac:dyDescent="0.45">
      <c r="B168" s="4"/>
      <c r="C168" s="1"/>
      <c r="D168" s="48"/>
      <c r="E168" s="11"/>
      <c r="F168" s="11"/>
      <c r="G168" s="11"/>
      <c r="H168" s="11"/>
      <c r="I168" s="11"/>
      <c r="J168" s="11"/>
      <c r="K168" s="11"/>
      <c r="L168" s="11"/>
      <c r="M168" s="11"/>
      <c r="N168" s="11"/>
      <c r="P168" s="2"/>
      <c r="Q168" s="2"/>
      <c r="R168" s="2"/>
    </row>
    <row r="169" spans="2:18" s="5" customFormat="1" ht="15" customHeight="1" x14ac:dyDescent="0.45">
      <c r="B169" s="2"/>
      <c r="C169" s="2"/>
      <c r="D169" s="15"/>
      <c r="E169" s="14"/>
      <c r="F169" s="14"/>
      <c r="G169" s="14"/>
      <c r="H169" s="14"/>
      <c r="I169" s="14"/>
      <c r="J169" s="14"/>
      <c r="K169" s="14"/>
      <c r="L169" s="14"/>
      <c r="M169" s="14"/>
      <c r="N169" s="14"/>
      <c r="P169" s="2"/>
      <c r="Q169" s="2"/>
      <c r="R169" s="2"/>
    </row>
  </sheetData>
  <mergeCells count="112">
    <mergeCell ref="B144:B155"/>
    <mergeCell ref="C144:C146"/>
    <mergeCell ref="C147:C149"/>
    <mergeCell ref="C150:C152"/>
    <mergeCell ref="C153:C155"/>
    <mergeCell ref="B156:B167"/>
    <mergeCell ref="C156:C158"/>
    <mergeCell ref="C159:C161"/>
    <mergeCell ref="C162:C164"/>
    <mergeCell ref="C165:C167"/>
    <mergeCell ref="J130:J131"/>
    <mergeCell ref="K130:K131"/>
    <mergeCell ref="L130:L131"/>
    <mergeCell ref="M130:M131"/>
    <mergeCell ref="N130:N131"/>
    <mergeCell ref="B132:B143"/>
    <mergeCell ref="C132:C134"/>
    <mergeCell ref="C135:C137"/>
    <mergeCell ref="C138:C140"/>
    <mergeCell ref="C141:C143"/>
    <mergeCell ref="E130:E131"/>
    <mergeCell ref="F130:F131"/>
    <mergeCell ref="G130:G131"/>
    <mergeCell ref="H130:H131"/>
    <mergeCell ref="I130:I131"/>
    <mergeCell ref="B130:B131"/>
    <mergeCell ref="C130:C131"/>
    <mergeCell ref="D130:D131"/>
    <mergeCell ref="B100:B113"/>
    <mergeCell ref="C100:C103"/>
    <mergeCell ref="C104:C108"/>
    <mergeCell ref="C109:C113"/>
    <mergeCell ref="B114:B128"/>
    <mergeCell ref="C114:C118"/>
    <mergeCell ref="C119:C123"/>
    <mergeCell ref="C124:C128"/>
    <mergeCell ref="J85:J86"/>
    <mergeCell ref="K85:K86"/>
    <mergeCell ref="L85:L86"/>
    <mergeCell ref="M85:M86"/>
    <mergeCell ref="N85:N86"/>
    <mergeCell ref="B87:B99"/>
    <mergeCell ref="C87:C91"/>
    <mergeCell ref="C92:C94"/>
    <mergeCell ref="C95:C99"/>
    <mergeCell ref="B85:B86"/>
    <mergeCell ref="E85:E86"/>
    <mergeCell ref="F85:F86"/>
    <mergeCell ref="G85:G86"/>
    <mergeCell ref="H85:H86"/>
    <mergeCell ref="I85:I86"/>
    <mergeCell ref="B55:B68"/>
    <mergeCell ref="C55:C58"/>
    <mergeCell ref="C59:C63"/>
    <mergeCell ref="C64:C68"/>
    <mergeCell ref="B69:B83"/>
    <mergeCell ref="C69:C73"/>
    <mergeCell ref="C74:C78"/>
    <mergeCell ref="C79:C83"/>
    <mergeCell ref="L40:L41"/>
    <mergeCell ref="M40:M41"/>
    <mergeCell ref="N40:N41"/>
    <mergeCell ref="B42:B54"/>
    <mergeCell ref="C42:C46"/>
    <mergeCell ref="C47:C49"/>
    <mergeCell ref="C50:C54"/>
    <mergeCell ref="F40:F41"/>
    <mergeCell ref="G40:G41"/>
    <mergeCell ref="H40:H41"/>
    <mergeCell ref="I40:I41"/>
    <mergeCell ref="J40:J41"/>
    <mergeCell ref="K40:K41"/>
    <mergeCell ref="B40:B41"/>
    <mergeCell ref="E40:E41"/>
    <mergeCell ref="N24:N25"/>
    <mergeCell ref="B26:B38"/>
    <mergeCell ref="C26:C30"/>
    <mergeCell ref="C31:C33"/>
    <mergeCell ref="C34:C38"/>
    <mergeCell ref="H24:H25"/>
    <mergeCell ref="I24:I25"/>
    <mergeCell ref="J24:J25"/>
    <mergeCell ref="K24:K25"/>
    <mergeCell ref="L24:L25"/>
    <mergeCell ref="M24:M25"/>
    <mergeCell ref="B15:B16"/>
    <mergeCell ref="C15:C16"/>
    <mergeCell ref="C13:C14"/>
    <mergeCell ref="D13:D14"/>
    <mergeCell ref="B24:B25"/>
    <mergeCell ref="E24:E25"/>
    <mergeCell ref="F24:F25"/>
    <mergeCell ref="G24:G25"/>
    <mergeCell ref="J13:J14"/>
    <mergeCell ref="C21:C22"/>
    <mergeCell ref="B21:B22"/>
    <mergeCell ref="C17:C20"/>
    <mergeCell ref="B17:B20"/>
    <mergeCell ref="M13:M14"/>
    <mergeCell ref="N13:N14"/>
    <mergeCell ref="B2:C10"/>
    <mergeCell ref="D2:E3"/>
    <mergeCell ref="G2:I3"/>
    <mergeCell ref="B13:B14"/>
    <mergeCell ref="E13:E14"/>
    <mergeCell ref="F13:F14"/>
    <mergeCell ref="G13:G14"/>
    <mergeCell ref="H13:H14"/>
    <mergeCell ref="I13:I14"/>
    <mergeCell ref="K2:N2"/>
    <mergeCell ref="K13:K14"/>
    <mergeCell ref="L13:L14"/>
  </mergeCells>
  <conditionalFormatting sqref="E10">
    <cfRule type="cellIs" dxfId="2" priority="1" operator="lessThan">
      <formula>1</formula>
    </cfRule>
    <cfRule type="cellIs" dxfId="1" priority="2" operator="greaterThan">
      <formula>1</formula>
    </cfRule>
    <cfRule type="cellIs" dxfId="0" priority="3" operator="equal">
      <formula>1</formula>
    </cfRule>
  </conditionalFormatting>
  <pageMargins left="0.7" right="0.7" top="0.75" bottom="0.75" header="0.3" footer="0.3"/>
  <pageSetup orientation="portrait" r:id="rId1"/>
  <ignoredErrors>
    <ignoredError sqref="E10" formulaRange="1"/>
    <ignoredError sqref="I36 N36 I52 N52 I61 N61 I66 N66 I76 N76 I81 N81 I97 N97 I106 N106 I111 N111 I121 N121 I126 N126 I157 N157 I160 N160 I163 N163 I166 N16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A8B3-4D3D-4488-B4BF-24906CFC65EC}">
  <dimension ref="A1:N42"/>
  <sheetViews>
    <sheetView tabSelected="1" zoomScaleNormal="100" workbookViewId="0">
      <selection activeCell="B2" sqref="B2:B8"/>
    </sheetView>
  </sheetViews>
  <sheetFormatPr defaultRowHeight="15" customHeight="1" x14ac:dyDescent="0.45"/>
  <cols>
    <col min="1" max="1" width="1.73046875" style="2" customWidth="1"/>
    <col min="2" max="2" width="40.9296875" style="2" customWidth="1"/>
    <col min="3" max="3" width="24.1328125" style="2" bestFit="1" customWidth="1"/>
    <col min="4" max="13" width="13.6640625" style="2" customWidth="1"/>
    <col min="14" max="14" width="1.6640625" style="2" customWidth="1"/>
    <col min="15" max="15" width="14.46484375" style="2" customWidth="1"/>
    <col min="16" max="16" width="1.53125" style="2" customWidth="1"/>
    <col min="17" max="16384" width="9.06640625" style="2"/>
  </cols>
  <sheetData>
    <row r="1" spans="1:14" ht="15" customHeight="1" x14ac:dyDescent="0.45">
      <c r="A1" s="1"/>
      <c r="B1" s="1"/>
      <c r="C1" s="1"/>
      <c r="D1" s="1"/>
      <c r="E1" s="1"/>
      <c r="F1" s="1"/>
      <c r="G1" s="1"/>
      <c r="H1" s="1"/>
      <c r="I1" s="1"/>
      <c r="J1" s="1"/>
      <c r="K1" s="1"/>
      <c r="L1" s="1"/>
      <c r="M1" s="1"/>
      <c r="N1" s="12"/>
    </row>
    <row r="2" spans="1:14" ht="15" customHeight="1" x14ac:dyDescent="0.45">
      <c r="A2" s="5"/>
      <c r="B2" s="87" t="s">
        <v>28</v>
      </c>
      <c r="C2" s="91" t="s">
        <v>29</v>
      </c>
      <c r="D2" s="92"/>
      <c r="E2" s="6"/>
      <c r="F2" s="95" t="s">
        <v>23</v>
      </c>
      <c r="G2" s="95"/>
      <c r="H2" s="95"/>
      <c r="I2" s="95"/>
      <c r="J2" s="7"/>
      <c r="K2" s="7"/>
      <c r="L2" s="7"/>
      <c r="M2" s="7"/>
      <c r="N2" s="5"/>
    </row>
    <row r="3" spans="1:14" ht="15" customHeight="1" x14ac:dyDescent="0.45">
      <c r="A3" s="5"/>
      <c r="B3" s="87"/>
      <c r="C3" s="93"/>
      <c r="D3" s="94"/>
      <c r="E3" s="6"/>
      <c r="F3" s="95"/>
      <c r="G3" s="95"/>
      <c r="H3" s="95"/>
      <c r="I3" s="95"/>
      <c r="J3" s="7"/>
      <c r="K3" s="7"/>
      <c r="L3" s="7"/>
      <c r="M3" s="7"/>
      <c r="N3" s="5"/>
    </row>
    <row r="4" spans="1:14" ht="15" customHeight="1" x14ac:dyDescent="0.45">
      <c r="A4" s="5"/>
      <c r="B4" s="87"/>
      <c r="C4" s="37" t="s">
        <v>2</v>
      </c>
      <c r="D4" s="38">
        <v>100000</v>
      </c>
      <c r="E4" s="6"/>
      <c r="F4" s="74" t="s">
        <v>24</v>
      </c>
      <c r="G4" s="60"/>
      <c r="H4" s="76"/>
      <c r="I4" s="125">
        <v>314.25</v>
      </c>
      <c r="J4" s="7"/>
      <c r="K4" s="7"/>
      <c r="L4" s="7"/>
      <c r="M4" s="7"/>
      <c r="N4" s="5"/>
    </row>
    <row r="5" spans="1:14" ht="15" customHeight="1" x14ac:dyDescent="0.45">
      <c r="A5" s="5"/>
      <c r="B5" s="87"/>
      <c r="C5" s="7"/>
      <c r="D5" s="7"/>
      <c r="E5" s="5"/>
      <c r="F5" s="74" t="s">
        <v>25</v>
      </c>
      <c r="G5" s="60"/>
      <c r="H5" s="76"/>
      <c r="I5" s="126">
        <v>42005</v>
      </c>
      <c r="J5" s="7"/>
      <c r="K5" s="7"/>
      <c r="L5" s="7"/>
      <c r="M5" s="7"/>
      <c r="N5" s="5"/>
    </row>
    <row r="6" spans="1:14" ht="15" customHeight="1" x14ac:dyDescent="0.45">
      <c r="A6" s="5"/>
      <c r="B6" s="87"/>
      <c r="C6" s="7"/>
      <c r="D6" s="7"/>
      <c r="E6" s="5"/>
      <c r="F6" s="74" t="s">
        <v>26</v>
      </c>
      <c r="G6" s="60"/>
      <c r="H6" s="76"/>
      <c r="I6" s="125">
        <v>94443.520000000004</v>
      </c>
      <c r="J6" s="7"/>
      <c r="K6" s="7"/>
      <c r="L6" s="7"/>
      <c r="M6" s="7"/>
      <c r="N6" s="5"/>
    </row>
    <row r="7" spans="1:14" ht="15" customHeight="1" x14ac:dyDescent="0.45">
      <c r="A7" s="5"/>
      <c r="B7" s="87"/>
      <c r="C7" s="7"/>
      <c r="D7" s="7"/>
      <c r="E7" s="5"/>
      <c r="F7" s="74" t="s">
        <v>27</v>
      </c>
      <c r="G7" s="60"/>
      <c r="H7" s="76"/>
      <c r="I7" s="126">
        <v>45658</v>
      </c>
      <c r="J7" s="7"/>
      <c r="K7" s="7"/>
      <c r="L7" s="7"/>
      <c r="M7" s="7"/>
      <c r="N7" s="5"/>
    </row>
    <row r="8" spans="1:14" ht="15" customHeight="1" x14ac:dyDescent="0.45">
      <c r="A8" s="61"/>
      <c r="B8" s="88"/>
      <c r="C8" s="7"/>
      <c r="D8" s="7"/>
      <c r="F8" s="21" t="s">
        <v>31</v>
      </c>
      <c r="G8" s="60"/>
      <c r="H8" s="76"/>
      <c r="I8" s="75">
        <f>(I6/I4)^(1/DATEDIF(I5,I7,"Y"))-1</f>
        <v>0.76925197017405411</v>
      </c>
      <c r="J8" s="7"/>
      <c r="K8" s="7"/>
      <c r="L8" s="7"/>
      <c r="M8" s="7"/>
      <c r="N8" s="5"/>
    </row>
    <row r="9" spans="1:14" ht="15" customHeight="1" x14ac:dyDescent="0.45">
      <c r="A9" s="1"/>
      <c r="B9" s="1"/>
      <c r="C9" s="77"/>
      <c r="D9" s="7"/>
      <c r="E9" s="6"/>
      <c r="F9" s="7"/>
      <c r="G9" s="7"/>
      <c r="H9" s="7"/>
      <c r="I9" s="7"/>
      <c r="J9" s="7"/>
      <c r="K9" s="7"/>
      <c r="L9" s="7"/>
      <c r="M9" s="7"/>
      <c r="N9" s="5"/>
    </row>
    <row r="10" spans="1:14" ht="30" customHeight="1" x14ac:dyDescent="0.45">
      <c r="A10" s="5"/>
      <c r="B10" s="127" t="s">
        <v>76</v>
      </c>
      <c r="C10" s="128"/>
      <c r="D10" s="89" t="s">
        <v>3</v>
      </c>
      <c r="E10" s="89" t="s">
        <v>4</v>
      </c>
      <c r="F10" s="89" t="s">
        <v>5</v>
      </c>
      <c r="G10" s="89" t="s">
        <v>6</v>
      </c>
      <c r="H10" s="89" t="s">
        <v>7</v>
      </c>
      <c r="I10" s="89" t="s">
        <v>8</v>
      </c>
      <c r="J10" s="89" t="s">
        <v>9</v>
      </c>
      <c r="K10" s="89" t="s">
        <v>10</v>
      </c>
      <c r="L10" s="89" t="s">
        <v>11</v>
      </c>
      <c r="M10" s="89" t="s">
        <v>12</v>
      </c>
      <c r="N10" s="8"/>
    </row>
    <row r="11" spans="1:14" ht="30" customHeight="1" x14ac:dyDescent="0.45">
      <c r="A11" s="5"/>
      <c r="B11" s="46" t="s">
        <v>32</v>
      </c>
      <c r="C11" s="46" t="s">
        <v>69</v>
      </c>
      <c r="D11" s="90"/>
      <c r="E11" s="90"/>
      <c r="F11" s="90"/>
      <c r="G11" s="90"/>
      <c r="H11" s="90"/>
      <c r="I11" s="90"/>
      <c r="J11" s="90"/>
      <c r="K11" s="90"/>
      <c r="L11" s="90"/>
      <c r="M11" s="90"/>
      <c r="N11" s="5"/>
    </row>
    <row r="12" spans="1:14" ht="15" customHeight="1" x14ac:dyDescent="0.45">
      <c r="A12" s="5"/>
      <c r="B12" s="129">
        <v>0.2</v>
      </c>
      <c r="C12" s="72" t="s">
        <v>0</v>
      </c>
      <c r="D12" s="62">
        <f>($D$4 * $B12) + $D$4</f>
        <v>120000</v>
      </c>
      <c r="E12" s="63">
        <f>(D12 * $B12) + D12</f>
        <v>144000</v>
      </c>
      <c r="F12" s="63">
        <f t="shared" ref="F12:M12" si="0">(E12 * $B12) + E12</f>
        <v>172800</v>
      </c>
      <c r="G12" s="63">
        <f t="shared" si="0"/>
        <v>207360</v>
      </c>
      <c r="H12" s="63">
        <f t="shared" si="0"/>
        <v>248832</v>
      </c>
      <c r="I12" s="63">
        <f t="shared" si="0"/>
        <v>298598.40000000002</v>
      </c>
      <c r="J12" s="63">
        <f t="shared" si="0"/>
        <v>358318.08000000002</v>
      </c>
      <c r="K12" s="63">
        <f t="shared" si="0"/>
        <v>429981.696</v>
      </c>
      <c r="L12" s="63">
        <f t="shared" si="0"/>
        <v>515978.03519999998</v>
      </c>
      <c r="M12" s="63">
        <f t="shared" si="0"/>
        <v>619173.64223999996</v>
      </c>
      <c r="N12" s="9"/>
    </row>
    <row r="13" spans="1:14" ht="15" customHeight="1" x14ac:dyDescent="0.45">
      <c r="A13" s="5"/>
      <c r="B13" s="129"/>
      <c r="C13" s="71" t="s">
        <v>1</v>
      </c>
      <c r="D13" s="64">
        <f>D12*21000000</f>
        <v>2520000000000</v>
      </c>
      <c r="E13" s="65">
        <f t="shared" ref="E13:M13" si="1">E12*21000000</f>
        <v>3024000000000</v>
      </c>
      <c r="F13" s="65">
        <f t="shared" si="1"/>
        <v>3628800000000</v>
      </c>
      <c r="G13" s="65">
        <f t="shared" si="1"/>
        <v>4354560000000</v>
      </c>
      <c r="H13" s="65">
        <f t="shared" si="1"/>
        <v>5225472000000</v>
      </c>
      <c r="I13" s="65">
        <f t="shared" si="1"/>
        <v>6270566400000.001</v>
      </c>
      <c r="J13" s="65">
        <f t="shared" si="1"/>
        <v>7524679680000</v>
      </c>
      <c r="K13" s="65">
        <f t="shared" si="1"/>
        <v>9029615616000</v>
      </c>
      <c r="L13" s="65">
        <f t="shared" si="1"/>
        <v>10835538739200</v>
      </c>
      <c r="M13" s="65">
        <f t="shared" si="1"/>
        <v>13002646487040</v>
      </c>
      <c r="N13" s="9"/>
    </row>
    <row r="14" spans="1:14" ht="15" customHeight="1" x14ac:dyDescent="0.45">
      <c r="A14" s="5"/>
      <c r="B14" s="129"/>
      <c r="C14" s="73" t="s">
        <v>14</v>
      </c>
      <c r="D14" s="66">
        <f>( ( D12 - $D$4 ) ) / D12</f>
        <v>0.16666666666666666</v>
      </c>
      <c r="E14" s="66">
        <f t="shared" ref="E14:M14" si="2">( ( E12 - $D$4 ) ) / E12</f>
        <v>0.30555555555555558</v>
      </c>
      <c r="F14" s="66">
        <f t="shared" si="2"/>
        <v>0.42129629629629628</v>
      </c>
      <c r="G14" s="66">
        <f t="shared" si="2"/>
        <v>0.51774691358024694</v>
      </c>
      <c r="H14" s="67">
        <f t="shared" si="2"/>
        <v>0.5981224279835391</v>
      </c>
      <c r="I14" s="66">
        <f t="shared" si="2"/>
        <v>0.66510202331961599</v>
      </c>
      <c r="J14" s="66">
        <f t="shared" si="2"/>
        <v>0.72091835276634664</v>
      </c>
      <c r="K14" s="66">
        <f t="shared" si="2"/>
        <v>0.76743196063862218</v>
      </c>
      <c r="L14" s="66">
        <f t="shared" si="2"/>
        <v>0.80619330053218508</v>
      </c>
      <c r="M14" s="66">
        <f t="shared" si="2"/>
        <v>0.83849441711015427</v>
      </c>
      <c r="N14" s="10"/>
    </row>
    <row r="15" spans="1:14" ht="15" customHeight="1" x14ac:dyDescent="0.45">
      <c r="A15" s="5"/>
      <c r="B15" s="129"/>
      <c r="C15" s="73" t="s">
        <v>13</v>
      </c>
      <c r="D15" s="66">
        <f>1-D14</f>
        <v>0.83333333333333337</v>
      </c>
      <c r="E15" s="66">
        <f t="shared" ref="E15:M15" si="3">1-E14</f>
        <v>0.69444444444444442</v>
      </c>
      <c r="F15" s="66">
        <f t="shared" si="3"/>
        <v>0.57870370370370372</v>
      </c>
      <c r="G15" s="66">
        <f t="shared" si="3"/>
        <v>0.48225308641975306</v>
      </c>
      <c r="H15" s="67">
        <f t="shared" si="3"/>
        <v>0.4018775720164609</v>
      </c>
      <c r="I15" s="66">
        <f t="shared" si="3"/>
        <v>0.33489797668038401</v>
      </c>
      <c r="J15" s="66">
        <f t="shared" si="3"/>
        <v>0.27908164723365336</v>
      </c>
      <c r="K15" s="66">
        <f t="shared" si="3"/>
        <v>0.23256803936137782</v>
      </c>
      <c r="L15" s="66">
        <f t="shared" si="3"/>
        <v>0.19380669946781492</v>
      </c>
      <c r="M15" s="66">
        <f t="shared" si="3"/>
        <v>0.16150558288984573</v>
      </c>
      <c r="N15" s="10"/>
    </row>
    <row r="16" spans="1:14" ht="15" customHeight="1" x14ac:dyDescent="0.45">
      <c r="A16" s="5"/>
      <c r="B16" s="129"/>
      <c r="C16" s="71" t="s">
        <v>15</v>
      </c>
      <c r="D16" s="68">
        <f>D14</f>
        <v>0.16666666666666666</v>
      </c>
      <c r="E16" s="69">
        <f>E14-D14</f>
        <v>0.13888888888888892</v>
      </c>
      <c r="F16" s="69">
        <f>F14-E14</f>
        <v>0.1157407407407407</v>
      </c>
      <c r="G16" s="69">
        <f t="shared" ref="G16:M16" si="4">G14-F14</f>
        <v>9.6450617283950657E-2</v>
      </c>
      <c r="H16" s="69">
        <f t="shared" si="4"/>
        <v>8.0375514403292159E-2</v>
      </c>
      <c r="I16" s="69">
        <f t="shared" si="4"/>
        <v>6.6979595336076891E-2</v>
      </c>
      <c r="J16" s="69">
        <f t="shared" si="4"/>
        <v>5.581632944673065E-2</v>
      </c>
      <c r="K16" s="69">
        <f t="shared" si="4"/>
        <v>4.6513607872275542E-2</v>
      </c>
      <c r="L16" s="69">
        <f t="shared" si="4"/>
        <v>3.8761339893562896E-2</v>
      </c>
      <c r="M16" s="69">
        <f t="shared" si="4"/>
        <v>3.2301116577969191E-2</v>
      </c>
      <c r="N16" s="9"/>
    </row>
    <row r="17" spans="1:14" ht="15" customHeight="1" x14ac:dyDescent="0.45">
      <c r="A17" s="5"/>
      <c r="B17" s="130"/>
      <c r="C17" s="71" t="s">
        <v>33</v>
      </c>
      <c r="D17" s="68"/>
      <c r="E17" s="69"/>
      <c r="F17" s="69"/>
      <c r="G17" s="69"/>
      <c r="H17" s="69">
        <f>SUM(D16:H16)/5</f>
        <v>0.11962448559670782</v>
      </c>
      <c r="I17" s="70"/>
      <c r="J17" s="70"/>
      <c r="K17" s="70"/>
      <c r="L17" s="70"/>
      <c r="M17" s="69">
        <f>SUM(D16:M16)/10</f>
        <v>8.3849441711015424E-2</v>
      </c>
      <c r="N17" s="9"/>
    </row>
    <row r="18" spans="1:14" ht="15" customHeight="1" x14ac:dyDescent="0.45">
      <c r="A18" s="5"/>
      <c r="B18" s="131">
        <v>0.25</v>
      </c>
      <c r="C18" s="71" t="s">
        <v>0</v>
      </c>
      <c r="D18" s="62">
        <f>($D$4 * $B18) + $D$4</f>
        <v>125000</v>
      </c>
      <c r="E18" s="63">
        <f>(D18 * $B18) + D18</f>
        <v>156250</v>
      </c>
      <c r="F18" s="63">
        <f t="shared" ref="F18:M18" si="5">(E18 * $B18) + E18</f>
        <v>195312.5</v>
      </c>
      <c r="G18" s="63">
        <f t="shared" si="5"/>
        <v>244140.625</v>
      </c>
      <c r="H18" s="63">
        <f t="shared" si="5"/>
        <v>305175.78125</v>
      </c>
      <c r="I18" s="63">
        <f t="shared" si="5"/>
        <v>381469.7265625</v>
      </c>
      <c r="J18" s="63">
        <f t="shared" si="5"/>
        <v>476837.158203125</v>
      </c>
      <c r="K18" s="63">
        <f t="shared" si="5"/>
        <v>596046.44775390625</v>
      </c>
      <c r="L18" s="63">
        <f t="shared" si="5"/>
        <v>745058.05969238281</v>
      </c>
      <c r="M18" s="63">
        <f t="shared" si="5"/>
        <v>931322.57461547852</v>
      </c>
      <c r="N18" s="5"/>
    </row>
    <row r="19" spans="1:14" ht="15" customHeight="1" x14ac:dyDescent="0.45">
      <c r="A19" s="5"/>
      <c r="B19" s="129"/>
      <c r="C19" s="71" t="s">
        <v>1</v>
      </c>
      <c r="D19" s="64">
        <f>D18*21000000</f>
        <v>2625000000000</v>
      </c>
      <c r="E19" s="65">
        <f t="shared" ref="E19:M19" si="6">E18*21000000</f>
        <v>3281250000000</v>
      </c>
      <c r="F19" s="65">
        <f t="shared" si="6"/>
        <v>4101562500000</v>
      </c>
      <c r="G19" s="65">
        <f t="shared" si="6"/>
        <v>5126953125000</v>
      </c>
      <c r="H19" s="65">
        <f t="shared" si="6"/>
        <v>6408691406250</v>
      </c>
      <c r="I19" s="65">
        <f t="shared" si="6"/>
        <v>8010864257812.5</v>
      </c>
      <c r="J19" s="65">
        <f t="shared" si="6"/>
        <v>10013580322265.625</v>
      </c>
      <c r="K19" s="65">
        <f t="shared" si="6"/>
        <v>12516975402832.031</v>
      </c>
      <c r="L19" s="65">
        <f t="shared" si="6"/>
        <v>15646219253540.039</v>
      </c>
      <c r="M19" s="65">
        <f t="shared" si="6"/>
        <v>19557774066925.047</v>
      </c>
      <c r="N19" s="5"/>
    </row>
    <row r="20" spans="1:14" ht="15" customHeight="1" x14ac:dyDescent="0.45">
      <c r="A20" s="5"/>
      <c r="B20" s="129"/>
      <c r="C20" s="73" t="s">
        <v>14</v>
      </c>
      <c r="D20" s="66">
        <f>( ( D18 - $D$4 ) ) / D18</f>
        <v>0.2</v>
      </c>
      <c r="E20" s="66">
        <f t="shared" ref="E20:M20" si="7">( ( E18 - $D$4 ) ) / E18</f>
        <v>0.36</v>
      </c>
      <c r="F20" s="66">
        <f t="shared" si="7"/>
        <v>0.48799999999999999</v>
      </c>
      <c r="G20" s="66">
        <f t="shared" si="7"/>
        <v>0.59040000000000004</v>
      </c>
      <c r="H20" s="67">
        <f t="shared" si="7"/>
        <v>0.67232000000000003</v>
      </c>
      <c r="I20" s="66">
        <f t="shared" si="7"/>
        <v>0.73785599999999996</v>
      </c>
      <c r="J20" s="66">
        <f t="shared" si="7"/>
        <v>0.79028480000000001</v>
      </c>
      <c r="K20" s="66">
        <f t="shared" si="7"/>
        <v>0.83222784000000005</v>
      </c>
      <c r="L20" s="66">
        <f t="shared" si="7"/>
        <v>0.86578227200000002</v>
      </c>
      <c r="M20" s="66">
        <f t="shared" si="7"/>
        <v>0.89262581760000004</v>
      </c>
      <c r="N20" s="5"/>
    </row>
    <row r="21" spans="1:14" ht="15" customHeight="1" x14ac:dyDescent="0.45">
      <c r="A21" s="5"/>
      <c r="B21" s="129"/>
      <c r="C21" s="73" t="s">
        <v>13</v>
      </c>
      <c r="D21" s="66">
        <f>1-D20</f>
        <v>0.8</v>
      </c>
      <c r="E21" s="66">
        <f t="shared" ref="E21:M21" si="8">1-E20</f>
        <v>0.64</v>
      </c>
      <c r="F21" s="66">
        <f t="shared" si="8"/>
        <v>0.51200000000000001</v>
      </c>
      <c r="G21" s="66">
        <f t="shared" si="8"/>
        <v>0.40959999999999996</v>
      </c>
      <c r="H21" s="67">
        <f t="shared" si="8"/>
        <v>0.32767999999999997</v>
      </c>
      <c r="I21" s="66">
        <f t="shared" si="8"/>
        <v>0.26214400000000004</v>
      </c>
      <c r="J21" s="66">
        <f t="shared" si="8"/>
        <v>0.20971519999999999</v>
      </c>
      <c r="K21" s="66">
        <f t="shared" si="8"/>
        <v>0.16777215999999995</v>
      </c>
      <c r="L21" s="66">
        <f t="shared" si="8"/>
        <v>0.13421772799999998</v>
      </c>
      <c r="M21" s="66">
        <f t="shared" si="8"/>
        <v>0.10737418239999996</v>
      </c>
      <c r="N21" s="5"/>
    </row>
    <row r="22" spans="1:14" ht="15" customHeight="1" x14ac:dyDescent="0.45">
      <c r="A22" s="5"/>
      <c r="B22" s="129"/>
      <c r="C22" s="71" t="s">
        <v>15</v>
      </c>
      <c r="D22" s="68">
        <f>D20</f>
        <v>0.2</v>
      </c>
      <c r="E22" s="69">
        <f>E20-D20</f>
        <v>0.15999999999999998</v>
      </c>
      <c r="F22" s="69">
        <f>F20-E20</f>
        <v>0.128</v>
      </c>
      <c r="G22" s="69">
        <f t="shared" ref="G22" si="9">G20-F20</f>
        <v>0.10240000000000005</v>
      </c>
      <c r="H22" s="69">
        <f t="shared" ref="H22" si="10">H20-G20</f>
        <v>8.1919999999999993E-2</v>
      </c>
      <c r="I22" s="69">
        <f t="shared" ref="I22" si="11">I20-H20</f>
        <v>6.5535999999999928E-2</v>
      </c>
      <c r="J22" s="69">
        <f t="shared" ref="J22" si="12">J20-I20</f>
        <v>5.2428800000000053E-2</v>
      </c>
      <c r="K22" s="69">
        <f t="shared" ref="K22" si="13">K20-J20</f>
        <v>4.1943040000000043E-2</v>
      </c>
      <c r="L22" s="69">
        <f t="shared" ref="L22" si="14">L20-K20</f>
        <v>3.3554431999999967E-2</v>
      </c>
      <c r="M22" s="69">
        <f t="shared" ref="M22" si="15">M20-L20</f>
        <v>2.6843545600000018E-2</v>
      </c>
      <c r="N22" s="5"/>
    </row>
    <row r="23" spans="1:14" ht="15" customHeight="1" x14ac:dyDescent="0.45">
      <c r="A23" s="5"/>
      <c r="B23" s="130"/>
      <c r="C23" s="71" t="s">
        <v>33</v>
      </c>
      <c r="D23" s="68"/>
      <c r="E23" s="69"/>
      <c r="F23" s="69"/>
      <c r="G23" s="69"/>
      <c r="H23" s="69">
        <f>SUM(D22:H22)/5</f>
        <v>0.134464</v>
      </c>
      <c r="I23" s="70"/>
      <c r="J23" s="70"/>
      <c r="K23" s="70"/>
      <c r="L23" s="70"/>
      <c r="M23" s="69">
        <f>SUM(D22:M22)/10</f>
        <v>8.9262581760000001E-2</v>
      </c>
      <c r="N23" s="5"/>
    </row>
    <row r="24" spans="1:14" ht="15" customHeight="1" x14ac:dyDescent="0.45">
      <c r="A24" s="5"/>
      <c r="B24" s="131">
        <v>0.3</v>
      </c>
      <c r="C24" s="71" t="s">
        <v>0</v>
      </c>
      <c r="D24" s="62">
        <f>($D$4 * $B24) + $D$4</f>
        <v>130000</v>
      </c>
      <c r="E24" s="63">
        <f>(D24 * $B24) + D24</f>
        <v>169000</v>
      </c>
      <c r="F24" s="63">
        <f t="shared" ref="F24:M24" si="16">(E24 * $B24) + E24</f>
        <v>219700</v>
      </c>
      <c r="G24" s="63">
        <f t="shared" si="16"/>
        <v>285610</v>
      </c>
      <c r="H24" s="63">
        <f t="shared" si="16"/>
        <v>371293</v>
      </c>
      <c r="I24" s="63">
        <f t="shared" si="16"/>
        <v>482680.9</v>
      </c>
      <c r="J24" s="63">
        <f t="shared" si="16"/>
        <v>627485.17000000004</v>
      </c>
      <c r="K24" s="63">
        <f t="shared" si="16"/>
        <v>815730.72100000002</v>
      </c>
      <c r="L24" s="63">
        <f t="shared" si="16"/>
        <v>1060449.9373000001</v>
      </c>
      <c r="M24" s="63">
        <f t="shared" si="16"/>
        <v>1378584.9184900001</v>
      </c>
      <c r="N24" s="5"/>
    </row>
    <row r="25" spans="1:14" ht="15" customHeight="1" x14ac:dyDescent="0.45">
      <c r="A25" s="5"/>
      <c r="B25" s="129"/>
      <c r="C25" s="71" t="s">
        <v>1</v>
      </c>
      <c r="D25" s="64">
        <f>D24*21000000</f>
        <v>2730000000000</v>
      </c>
      <c r="E25" s="65">
        <f t="shared" ref="E25:M25" si="17">E24*21000000</f>
        <v>3549000000000</v>
      </c>
      <c r="F25" s="65">
        <f t="shared" si="17"/>
        <v>4613700000000</v>
      </c>
      <c r="G25" s="65">
        <f t="shared" si="17"/>
        <v>5997810000000</v>
      </c>
      <c r="H25" s="65">
        <f t="shared" si="17"/>
        <v>7797153000000</v>
      </c>
      <c r="I25" s="65">
        <f t="shared" si="17"/>
        <v>10136298900000</v>
      </c>
      <c r="J25" s="65">
        <f t="shared" si="17"/>
        <v>13177188570000</v>
      </c>
      <c r="K25" s="65">
        <f t="shared" si="17"/>
        <v>17130345141000</v>
      </c>
      <c r="L25" s="65">
        <f t="shared" si="17"/>
        <v>22269448683300.004</v>
      </c>
      <c r="M25" s="65">
        <f t="shared" si="17"/>
        <v>28950283288290</v>
      </c>
      <c r="N25" s="5"/>
    </row>
    <row r="26" spans="1:14" ht="15" customHeight="1" x14ac:dyDescent="0.45">
      <c r="A26" s="5"/>
      <c r="B26" s="129"/>
      <c r="C26" s="73" t="s">
        <v>14</v>
      </c>
      <c r="D26" s="66">
        <f>( ( D24 - $D$4 ) ) / D24</f>
        <v>0.23076923076923078</v>
      </c>
      <c r="E26" s="66">
        <f t="shared" ref="E26:M26" si="18">( ( E24 - $D$4 ) ) / E24</f>
        <v>0.40828402366863903</v>
      </c>
      <c r="F26" s="66">
        <f t="shared" si="18"/>
        <v>0.54483386436049153</v>
      </c>
      <c r="G26" s="66">
        <f t="shared" si="18"/>
        <v>0.64987220335422424</v>
      </c>
      <c r="H26" s="67">
        <f t="shared" si="18"/>
        <v>0.73067092565709557</v>
      </c>
      <c r="I26" s="66">
        <f t="shared" si="18"/>
        <v>0.79282378896699668</v>
      </c>
      <c r="J26" s="66">
        <f t="shared" si="18"/>
        <v>0.84063368382076664</v>
      </c>
      <c r="K26" s="66">
        <f t="shared" si="18"/>
        <v>0.87741052601597436</v>
      </c>
      <c r="L26" s="66">
        <f t="shared" si="18"/>
        <v>0.90570040462767254</v>
      </c>
      <c r="M26" s="66">
        <f t="shared" si="18"/>
        <v>0.92746184971359424</v>
      </c>
      <c r="N26" s="5"/>
    </row>
    <row r="27" spans="1:14" ht="15" customHeight="1" x14ac:dyDescent="0.45">
      <c r="A27" s="5"/>
      <c r="B27" s="129"/>
      <c r="C27" s="73" t="s">
        <v>13</v>
      </c>
      <c r="D27" s="66">
        <f>1-D26</f>
        <v>0.76923076923076916</v>
      </c>
      <c r="E27" s="66">
        <f t="shared" ref="E27:M27" si="19">1-E26</f>
        <v>0.59171597633136097</v>
      </c>
      <c r="F27" s="66">
        <f t="shared" si="19"/>
        <v>0.45516613563950847</v>
      </c>
      <c r="G27" s="66">
        <f t="shared" si="19"/>
        <v>0.35012779664577576</v>
      </c>
      <c r="H27" s="67">
        <f t="shared" si="19"/>
        <v>0.26932907434290443</v>
      </c>
      <c r="I27" s="66">
        <f t="shared" si="19"/>
        <v>0.20717621103300332</v>
      </c>
      <c r="J27" s="66">
        <f t="shared" si="19"/>
        <v>0.15936631617923336</v>
      </c>
      <c r="K27" s="66">
        <f t="shared" si="19"/>
        <v>0.12258947398402564</v>
      </c>
      <c r="L27" s="66">
        <f t="shared" si="19"/>
        <v>9.429959537232746E-2</v>
      </c>
      <c r="M27" s="66">
        <f t="shared" si="19"/>
        <v>7.2538150286405756E-2</v>
      </c>
      <c r="N27" s="5"/>
    </row>
    <row r="28" spans="1:14" ht="15" customHeight="1" x14ac:dyDescent="0.45">
      <c r="A28" s="5"/>
      <c r="B28" s="129"/>
      <c r="C28" s="71" t="s">
        <v>15</v>
      </c>
      <c r="D28" s="68">
        <f>D26</f>
        <v>0.23076923076923078</v>
      </c>
      <c r="E28" s="69">
        <f>E26-D26</f>
        <v>0.17751479289940825</v>
      </c>
      <c r="F28" s="69">
        <f>F26-E26</f>
        <v>0.1365498406918525</v>
      </c>
      <c r="G28" s="69">
        <f t="shared" ref="G28" si="20">G26-F26</f>
        <v>0.10503833899373272</v>
      </c>
      <c r="H28" s="69">
        <f t="shared" ref="H28" si="21">H26-G26</f>
        <v>8.0798722302871329E-2</v>
      </c>
      <c r="I28" s="69">
        <f t="shared" ref="I28" si="22">I26-H26</f>
        <v>6.2152863309901107E-2</v>
      </c>
      <c r="J28" s="69">
        <f t="shared" ref="J28" si="23">J26-I26</f>
        <v>4.7809894853769963E-2</v>
      </c>
      <c r="K28" s="69">
        <f t="shared" ref="K28" si="24">K26-J26</f>
        <v>3.6776842195207715E-2</v>
      </c>
      <c r="L28" s="69">
        <f t="shared" ref="L28" si="25">L26-K26</f>
        <v>2.8289878611698183E-2</v>
      </c>
      <c r="M28" s="69">
        <f t="shared" ref="M28" si="26">M26-L26</f>
        <v>2.1761445085921705E-2</v>
      </c>
      <c r="N28" s="5"/>
    </row>
    <row r="29" spans="1:14" ht="15" customHeight="1" x14ac:dyDescent="0.45">
      <c r="A29" s="5"/>
      <c r="B29" s="130"/>
      <c r="C29" s="71" t="s">
        <v>33</v>
      </c>
      <c r="D29" s="68"/>
      <c r="E29" s="69"/>
      <c r="F29" s="69"/>
      <c r="G29" s="69"/>
      <c r="H29" s="69">
        <f>SUM(D28:H28)/5</f>
        <v>0.14613418513141913</v>
      </c>
      <c r="I29" s="70"/>
      <c r="J29" s="70"/>
      <c r="K29" s="70"/>
      <c r="L29" s="70"/>
      <c r="M29" s="69">
        <f>SUM(D28:M28)/10</f>
        <v>9.2746184971359419E-2</v>
      </c>
      <c r="N29" s="5"/>
    </row>
    <row r="30" spans="1:14" ht="15" customHeight="1" x14ac:dyDescent="0.45">
      <c r="A30" s="5"/>
      <c r="B30" s="131">
        <v>0.35</v>
      </c>
      <c r="C30" s="71" t="s">
        <v>0</v>
      </c>
      <c r="D30" s="62">
        <f>($D$4 * $B30) + $D$4</f>
        <v>135000</v>
      </c>
      <c r="E30" s="63">
        <f>(D30 * $B30) + D30</f>
        <v>182250</v>
      </c>
      <c r="F30" s="63">
        <f t="shared" ref="F30:M30" si="27">(E30 * $B30) + E30</f>
        <v>246037.5</v>
      </c>
      <c r="G30" s="63">
        <f t="shared" si="27"/>
        <v>332150.625</v>
      </c>
      <c r="H30" s="63">
        <f t="shared" si="27"/>
        <v>448403.34375</v>
      </c>
      <c r="I30" s="63">
        <f t="shared" si="27"/>
        <v>605344.51406249998</v>
      </c>
      <c r="J30" s="63">
        <f t="shared" si="27"/>
        <v>817215.09398437501</v>
      </c>
      <c r="K30" s="63">
        <f t="shared" si="27"/>
        <v>1103240.3768789063</v>
      </c>
      <c r="L30" s="63">
        <f t="shared" si="27"/>
        <v>1489374.5087865235</v>
      </c>
      <c r="M30" s="63">
        <f t="shared" si="27"/>
        <v>2010655.5868618067</v>
      </c>
      <c r="N30" s="5"/>
    </row>
    <row r="31" spans="1:14" ht="15" customHeight="1" x14ac:dyDescent="0.45">
      <c r="A31" s="5"/>
      <c r="B31" s="129"/>
      <c r="C31" s="71" t="s">
        <v>1</v>
      </c>
      <c r="D31" s="64">
        <f>D30*21000000</f>
        <v>2835000000000</v>
      </c>
      <c r="E31" s="65">
        <f t="shared" ref="E31:M31" si="28">E30*21000000</f>
        <v>3827250000000</v>
      </c>
      <c r="F31" s="65">
        <f t="shared" si="28"/>
        <v>5166787500000</v>
      </c>
      <c r="G31" s="65">
        <f t="shared" si="28"/>
        <v>6975163125000</v>
      </c>
      <c r="H31" s="65">
        <f t="shared" si="28"/>
        <v>9416470218750</v>
      </c>
      <c r="I31" s="65">
        <f t="shared" si="28"/>
        <v>12712234795312.5</v>
      </c>
      <c r="J31" s="65">
        <f t="shared" si="28"/>
        <v>17161516973671.875</v>
      </c>
      <c r="K31" s="65">
        <f t="shared" si="28"/>
        <v>23168047914457.031</v>
      </c>
      <c r="L31" s="65">
        <f t="shared" si="28"/>
        <v>31276864684516.992</v>
      </c>
      <c r="M31" s="65">
        <f t="shared" si="28"/>
        <v>42223767324097.938</v>
      </c>
      <c r="N31" s="5"/>
    </row>
    <row r="32" spans="1:14" ht="15" customHeight="1" x14ac:dyDescent="0.45">
      <c r="A32" s="5"/>
      <c r="B32" s="129"/>
      <c r="C32" s="73" t="s">
        <v>14</v>
      </c>
      <c r="D32" s="66">
        <f>( ( D30 - $D$4 ) ) / D30</f>
        <v>0.25925925925925924</v>
      </c>
      <c r="E32" s="66">
        <f t="shared" ref="E32:M32" si="29">( ( E30 - $D$4 ) ) / E30</f>
        <v>0.45130315500685869</v>
      </c>
      <c r="F32" s="66">
        <f t="shared" si="29"/>
        <v>0.59355789259767311</v>
      </c>
      <c r="G32" s="66">
        <f t="shared" ref="G32" si="30">( ( G30 - $D$4 ) ) / G30</f>
        <v>0.69893177229457271</v>
      </c>
      <c r="H32" s="67">
        <f t="shared" si="29"/>
        <v>0.77698649799597974</v>
      </c>
      <c r="I32" s="66">
        <f t="shared" si="29"/>
        <v>0.83480481333035539</v>
      </c>
      <c r="J32" s="66">
        <f t="shared" si="29"/>
        <v>0.87763319505952253</v>
      </c>
      <c r="K32" s="66">
        <f t="shared" si="29"/>
        <v>0.90935792226631296</v>
      </c>
      <c r="L32" s="66">
        <f t="shared" si="29"/>
        <v>0.93285772019726887</v>
      </c>
      <c r="M32" s="66">
        <f t="shared" si="29"/>
        <v>0.95026497792390285</v>
      </c>
      <c r="N32" s="5"/>
    </row>
    <row r="33" spans="1:14" ht="15" customHeight="1" x14ac:dyDescent="0.45">
      <c r="A33" s="5"/>
      <c r="B33" s="129"/>
      <c r="C33" s="73" t="s">
        <v>13</v>
      </c>
      <c r="D33" s="66">
        <f>1-D32</f>
        <v>0.7407407407407407</v>
      </c>
      <c r="E33" s="66">
        <f t="shared" ref="E33:M33" si="31">1-E32</f>
        <v>0.54869684499314131</v>
      </c>
      <c r="F33" s="66">
        <f t="shared" si="31"/>
        <v>0.40644210740232689</v>
      </c>
      <c r="G33" s="66">
        <f t="shared" ref="G33" si="32">1-G32</f>
        <v>0.30106822770542729</v>
      </c>
      <c r="H33" s="67">
        <f t="shared" si="31"/>
        <v>0.22301350200402026</v>
      </c>
      <c r="I33" s="66">
        <f t="shared" si="31"/>
        <v>0.16519518666964461</v>
      </c>
      <c r="J33" s="66">
        <f t="shared" si="31"/>
        <v>0.12236680494047747</v>
      </c>
      <c r="K33" s="66">
        <f t="shared" si="31"/>
        <v>9.0642077733687043E-2</v>
      </c>
      <c r="L33" s="66">
        <f t="shared" si="31"/>
        <v>6.7142279802731131E-2</v>
      </c>
      <c r="M33" s="66">
        <f t="shared" si="31"/>
        <v>4.9735022076097146E-2</v>
      </c>
      <c r="N33" s="5"/>
    </row>
    <row r="34" spans="1:14" ht="15" customHeight="1" x14ac:dyDescent="0.45">
      <c r="A34" s="5"/>
      <c r="B34" s="129"/>
      <c r="C34" s="71" t="s">
        <v>15</v>
      </c>
      <c r="D34" s="68">
        <f>D32</f>
        <v>0.25925925925925924</v>
      </c>
      <c r="E34" s="69">
        <f>E32-D32</f>
        <v>0.19204389574759945</v>
      </c>
      <c r="F34" s="69">
        <f>F32-E32</f>
        <v>0.14225473759081442</v>
      </c>
      <c r="G34" s="69">
        <f t="shared" ref="G34" si="33">G32-F32</f>
        <v>0.1053738796968996</v>
      </c>
      <c r="H34" s="69">
        <f t="shared" ref="H34" si="34">H32-G32</f>
        <v>7.8054725701407035E-2</v>
      </c>
      <c r="I34" s="69">
        <f t="shared" ref="I34" si="35">I32-H32</f>
        <v>5.7818315334375647E-2</v>
      </c>
      <c r="J34" s="69">
        <f t="shared" ref="J34" si="36">J32-I32</f>
        <v>4.2828381729167142E-2</v>
      </c>
      <c r="K34" s="69">
        <f t="shared" ref="K34" si="37">K32-J32</f>
        <v>3.1724727206790426E-2</v>
      </c>
      <c r="L34" s="69">
        <f t="shared" ref="L34" si="38">L32-K32</f>
        <v>2.3499797930955912E-2</v>
      </c>
      <c r="M34" s="69">
        <f t="shared" ref="M34" si="39">M32-L32</f>
        <v>1.7407257726633985E-2</v>
      </c>
      <c r="N34" s="5"/>
    </row>
    <row r="35" spans="1:14" ht="15" customHeight="1" x14ac:dyDescent="0.45">
      <c r="A35" s="5"/>
      <c r="B35" s="130"/>
      <c r="C35" s="71" t="s">
        <v>33</v>
      </c>
      <c r="D35" s="68"/>
      <c r="E35" s="69"/>
      <c r="F35" s="69"/>
      <c r="G35" s="69"/>
      <c r="H35" s="69">
        <f>SUM(D34:H34)/5</f>
        <v>0.15539729959919596</v>
      </c>
      <c r="I35" s="70"/>
      <c r="J35" s="70"/>
      <c r="K35" s="70"/>
      <c r="L35" s="70"/>
      <c r="M35" s="69">
        <f>SUM(D34:M34)/10</f>
        <v>9.502649779239028E-2</v>
      </c>
      <c r="N35" s="5"/>
    </row>
    <row r="36" spans="1:14" ht="15" customHeight="1" x14ac:dyDescent="0.45">
      <c r="A36" s="5"/>
      <c r="B36" s="129">
        <v>0.4</v>
      </c>
      <c r="C36" s="71" t="s">
        <v>0</v>
      </c>
      <c r="D36" s="62">
        <f>($D$4 * $B36) + $D$4</f>
        <v>140000</v>
      </c>
      <c r="E36" s="63">
        <f>(D36 * $B36) + D36</f>
        <v>196000</v>
      </c>
      <c r="F36" s="63">
        <f t="shared" ref="F36:M36" si="40">(E36 * $B36) + E36</f>
        <v>274400</v>
      </c>
      <c r="G36" s="63">
        <f t="shared" si="40"/>
        <v>384160</v>
      </c>
      <c r="H36" s="63">
        <f t="shared" si="40"/>
        <v>537824</v>
      </c>
      <c r="I36" s="63">
        <f t="shared" si="40"/>
        <v>752953.6</v>
      </c>
      <c r="J36" s="63">
        <f t="shared" si="40"/>
        <v>1054135.04</v>
      </c>
      <c r="K36" s="63">
        <f t="shared" si="40"/>
        <v>1475789.0560000001</v>
      </c>
      <c r="L36" s="63">
        <f t="shared" si="40"/>
        <v>2066104.6784000001</v>
      </c>
      <c r="M36" s="63">
        <f t="shared" si="40"/>
        <v>2892546.5497600003</v>
      </c>
      <c r="N36" s="5"/>
    </row>
    <row r="37" spans="1:14" ht="15" customHeight="1" x14ac:dyDescent="0.45">
      <c r="A37" s="5"/>
      <c r="B37" s="129"/>
      <c r="C37" s="71" t="s">
        <v>1</v>
      </c>
      <c r="D37" s="64">
        <f>D36*21000000</f>
        <v>2940000000000</v>
      </c>
      <c r="E37" s="65">
        <f t="shared" ref="E37:M37" si="41">E36*21000000</f>
        <v>4116000000000</v>
      </c>
      <c r="F37" s="65">
        <f t="shared" si="41"/>
        <v>5762400000000</v>
      </c>
      <c r="G37" s="65">
        <f t="shared" si="41"/>
        <v>8067360000000</v>
      </c>
      <c r="H37" s="65">
        <f t="shared" si="41"/>
        <v>11294304000000</v>
      </c>
      <c r="I37" s="65">
        <f t="shared" si="41"/>
        <v>15812025600000</v>
      </c>
      <c r="J37" s="65">
        <f t="shared" si="41"/>
        <v>22136835840000</v>
      </c>
      <c r="K37" s="65">
        <f t="shared" si="41"/>
        <v>30991570176000.004</v>
      </c>
      <c r="L37" s="65">
        <f t="shared" si="41"/>
        <v>43388198246400</v>
      </c>
      <c r="M37" s="65">
        <f t="shared" si="41"/>
        <v>60743477544960.008</v>
      </c>
      <c r="N37" s="5"/>
    </row>
    <row r="38" spans="1:14" ht="15" customHeight="1" x14ac:dyDescent="0.45">
      <c r="A38" s="5"/>
      <c r="B38" s="129"/>
      <c r="C38" s="73" t="s">
        <v>14</v>
      </c>
      <c r="D38" s="66">
        <f>( ( D36 - $D$4 ) ) / D36</f>
        <v>0.2857142857142857</v>
      </c>
      <c r="E38" s="66">
        <f t="shared" ref="E38:M38" si="42">( ( E36 - $D$4 ) ) / E36</f>
        <v>0.48979591836734693</v>
      </c>
      <c r="F38" s="66">
        <f t="shared" ref="F38" si="43">( ( F36 - $D$4 ) ) / F36</f>
        <v>0.63556851311953355</v>
      </c>
      <c r="G38" s="66">
        <f t="shared" si="42"/>
        <v>0.73969179508538108</v>
      </c>
      <c r="H38" s="67">
        <f t="shared" si="42"/>
        <v>0.81406556791812934</v>
      </c>
      <c r="I38" s="66">
        <f t="shared" si="42"/>
        <v>0.86718969137009239</v>
      </c>
      <c r="J38" s="66">
        <f t="shared" si="42"/>
        <v>0.90513549383578029</v>
      </c>
      <c r="K38" s="66">
        <f t="shared" si="42"/>
        <v>0.93223963845412883</v>
      </c>
      <c r="L38" s="66">
        <f t="shared" si="42"/>
        <v>0.95159974175294915</v>
      </c>
      <c r="M38" s="66">
        <f t="shared" si="42"/>
        <v>0.96542838696639222</v>
      </c>
      <c r="N38" s="5"/>
    </row>
    <row r="39" spans="1:14" ht="15" customHeight="1" x14ac:dyDescent="0.45">
      <c r="A39" s="5"/>
      <c r="B39" s="129"/>
      <c r="C39" s="73" t="s">
        <v>13</v>
      </c>
      <c r="D39" s="66">
        <f>1-D38</f>
        <v>0.7142857142857143</v>
      </c>
      <c r="E39" s="66">
        <f t="shared" ref="E39:M39" si="44">1-E38</f>
        <v>0.51020408163265307</v>
      </c>
      <c r="F39" s="66">
        <f t="shared" ref="F39" si="45">1-F38</f>
        <v>0.36443148688046645</v>
      </c>
      <c r="G39" s="66">
        <f t="shared" si="44"/>
        <v>0.26030820491461892</v>
      </c>
      <c r="H39" s="67">
        <f t="shared" si="44"/>
        <v>0.18593443208187066</v>
      </c>
      <c r="I39" s="66">
        <f t="shared" si="44"/>
        <v>0.13281030862990761</v>
      </c>
      <c r="J39" s="66">
        <f t="shared" si="44"/>
        <v>9.4864506164219708E-2</v>
      </c>
      <c r="K39" s="66">
        <f t="shared" si="44"/>
        <v>6.7760361545871173E-2</v>
      </c>
      <c r="L39" s="66">
        <f t="shared" si="44"/>
        <v>4.8400258247050854E-2</v>
      </c>
      <c r="M39" s="66">
        <f t="shared" si="44"/>
        <v>3.4571613033607784E-2</v>
      </c>
      <c r="N39" s="5"/>
    </row>
    <row r="40" spans="1:14" ht="15" customHeight="1" x14ac:dyDescent="0.45">
      <c r="A40" s="5"/>
      <c r="B40" s="129"/>
      <c r="C40" s="71" t="s">
        <v>15</v>
      </c>
      <c r="D40" s="68">
        <f>D38</f>
        <v>0.2857142857142857</v>
      </c>
      <c r="E40" s="69">
        <f>E38-D38</f>
        <v>0.20408163265306123</v>
      </c>
      <c r="F40" s="69">
        <f>F38-E38</f>
        <v>0.14577259475218662</v>
      </c>
      <c r="G40" s="69">
        <f t="shared" ref="G40" si="46">G38-F38</f>
        <v>0.10412328196584753</v>
      </c>
      <c r="H40" s="69">
        <f t="shared" ref="H40" si="47">H38-G38</f>
        <v>7.4373772832748264E-2</v>
      </c>
      <c r="I40" s="69">
        <f t="shared" ref="I40" si="48">I38-H38</f>
        <v>5.3124123451963046E-2</v>
      </c>
      <c r="J40" s="69">
        <f t="shared" ref="J40" si="49">J38-I38</f>
        <v>3.7945802465687906E-2</v>
      </c>
      <c r="K40" s="69">
        <f t="shared" ref="K40" si="50">K38-J38</f>
        <v>2.7104144618348536E-2</v>
      </c>
      <c r="L40" s="69">
        <f t="shared" ref="L40" si="51">L38-K38</f>
        <v>1.9360103298820319E-2</v>
      </c>
      <c r="M40" s="69">
        <f t="shared" ref="M40" si="52">M38-L38</f>
        <v>1.3828645213443069E-2</v>
      </c>
      <c r="N40" s="5"/>
    </row>
    <row r="41" spans="1:14" ht="15" customHeight="1" x14ac:dyDescent="0.45">
      <c r="A41" s="5"/>
      <c r="B41" s="132"/>
      <c r="C41" s="71" t="s">
        <v>33</v>
      </c>
      <c r="D41" s="68"/>
      <c r="E41" s="69"/>
      <c r="F41" s="69"/>
      <c r="G41" s="69"/>
      <c r="H41" s="69">
        <f>SUM(D40:H40)/5</f>
        <v>0.16281311358362588</v>
      </c>
      <c r="I41" s="70"/>
      <c r="J41" s="70"/>
      <c r="K41" s="70"/>
      <c r="L41" s="70"/>
      <c r="M41" s="69">
        <f>SUM(D40:M40)/10</f>
        <v>9.6542838696639224E-2</v>
      </c>
      <c r="N41" s="5"/>
    </row>
    <row r="42" spans="1:14" ht="15" customHeight="1" x14ac:dyDescent="0.45">
      <c r="A42" s="9"/>
      <c r="B42" s="1"/>
      <c r="C42" s="1"/>
      <c r="D42" s="1"/>
      <c r="E42" s="1"/>
      <c r="F42" s="1"/>
      <c r="G42" s="1"/>
      <c r="H42" s="1"/>
      <c r="I42" s="1"/>
      <c r="J42" s="1"/>
      <c r="K42" s="1"/>
      <c r="L42" s="1"/>
      <c r="M42" s="1"/>
      <c r="N42" s="9"/>
    </row>
  </sheetData>
  <mergeCells count="18">
    <mergeCell ref="J10:J11"/>
    <mergeCell ref="K10:K11"/>
    <mergeCell ref="L10:L11"/>
    <mergeCell ref="M10:M11"/>
    <mergeCell ref="C2:D3"/>
    <mergeCell ref="F2:I3"/>
    <mergeCell ref="H10:H11"/>
    <mergeCell ref="I10:I11"/>
    <mergeCell ref="D10:D11"/>
    <mergeCell ref="E10:E11"/>
    <mergeCell ref="F10:F11"/>
    <mergeCell ref="G10:G11"/>
    <mergeCell ref="B36:B41"/>
    <mergeCell ref="B18:B23"/>
    <mergeCell ref="B24:B29"/>
    <mergeCell ref="B30:B35"/>
    <mergeCell ref="B12:B17"/>
    <mergeCell ref="B2:B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Yield Estimate Calculator</vt:lpstr>
      <vt:lpstr>10 Year Burndown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Hutchinson</dc:creator>
  <cp:lastModifiedBy>Kyle Hutchinson</cp:lastModifiedBy>
  <dcterms:created xsi:type="dcterms:W3CDTF">2025-08-18T00:15:32Z</dcterms:created>
  <dcterms:modified xsi:type="dcterms:W3CDTF">2025-10-12T17:02:41Z</dcterms:modified>
</cp:coreProperties>
</file>