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0eb409204932c1c/Lightning Bank Case Study/"/>
    </mc:Choice>
  </mc:AlternateContent>
  <xr:revisionPtr revIDLastSave="8809" documentId="13_ncr:1_{AE93A452-22DF-478B-8AAE-1A3A6016AB56}" xr6:coauthVersionLast="47" xr6:coauthVersionMax="47" xr10:uidLastSave="{AE144955-696C-4C7B-B6A6-2A96455DBB97}"/>
  <bookViews>
    <workbookView xWindow="-98" yWindow="-98" windowWidth="28996" windowHeight="15675" xr2:uid="{10396A79-A4B2-467C-A467-ECE59C587EB2}"/>
  </bookViews>
  <sheets>
    <sheet name="Yield Estimate Calculator" sheetId="18" r:id="rId1"/>
    <sheet name="Bitcoin Mortgage Services" sheetId="19" r:id="rId2"/>
    <sheet name="10 Year Burndown Summary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9" i="18" l="1"/>
  <c r="F29" i="18"/>
  <c r="G29" i="18"/>
  <c r="H29" i="18"/>
  <c r="I29" i="18"/>
  <c r="J29" i="18"/>
  <c r="K29" i="18"/>
  <c r="L29" i="18"/>
  <c r="M29" i="18"/>
  <c r="N29" i="18"/>
  <c r="E29" i="18"/>
  <c r="E30" i="18" s="1"/>
  <c r="L8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11" i="19"/>
  <c r="G6" i="19"/>
  <c r="K6" i="19" s="1"/>
  <c r="G7" i="19"/>
  <c r="G8" i="19"/>
  <c r="H8" i="19" s="1"/>
  <c r="G9" i="19"/>
  <c r="K9" i="19" s="1"/>
  <c r="G10" i="19"/>
  <c r="G5" i="19"/>
  <c r="I6" i="19"/>
  <c r="J6" i="19" s="1"/>
  <c r="B7" i="19"/>
  <c r="I12" i="19"/>
  <c r="J12" i="19" s="1"/>
  <c r="I13" i="19"/>
  <c r="J13" i="19" s="1"/>
  <c r="I14" i="19"/>
  <c r="J14" i="19" s="1"/>
  <c r="I15" i="19"/>
  <c r="J15" i="19" s="1"/>
  <c r="I16" i="19"/>
  <c r="J16" i="19" s="1"/>
  <c r="I17" i="19"/>
  <c r="J17" i="19" s="1"/>
  <c r="I18" i="19"/>
  <c r="J18" i="19" s="1"/>
  <c r="I19" i="19"/>
  <c r="J19" i="19" s="1"/>
  <c r="I20" i="19"/>
  <c r="J20" i="19" s="1"/>
  <c r="I21" i="19"/>
  <c r="J21" i="19" s="1"/>
  <c r="I22" i="19"/>
  <c r="J22" i="19" s="1"/>
  <c r="I23" i="19"/>
  <c r="J23" i="19" s="1"/>
  <c r="I24" i="19"/>
  <c r="J24" i="19" s="1"/>
  <c r="I25" i="19"/>
  <c r="J25" i="19" s="1"/>
  <c r="I26" i="19"/>
  <c r="J26" i="19" s="1"/>
  <c r="I27" i="19"/>
  <c r="J27" i="19" s="1"/>
  <c r="I28" i="19"/>
  <c r="J28" i="19" s="1"/>
  <c r="I29" i="19"/>
  <c r="J29" i="19" s="1"/>
  <c r="I30" i="19"/>
  <c r="J30" i="19" s="1"/>
  <c r="I31" i="19"/>
  <c r="J31" i="19" s="1"/>
  <c r="I32" i="19"/>
  <c r="J32" i="19" s="1"/>
  <c r="I33" i="19"/>
  <c r="J33" i="19" s="1"/>
  <c r="I34" i="19"/>
  <c r="J34" i="19" s="1"/>
  <c r="I35" i="19"/>
  <c r="J35" i="19" s="1"/>
  <c r="I36" i="19"/>
  <c r="J36" i="19" s="1"/>
  <c r="I37" i="19"/>
  <c r="J37" i="19" s="1"/>
  <c r="I38" i="19"/>
  <c r="J38" i="19" s="1"/>
  <c r="I39" i="19"/>
  <c r="J39" i="19" s="1"/>
  <c r="I40" i="19"/>
  <c r="J40" i="19" s="1"/>
  <c r="I41" i="19"/>
  <c r="J41" i="19" s="1"/>
  <c r="I42" i="19"/>
  <c r="J42" i="19" s="1"/>
  <c r="I11" i="19"/>
  <c r="J11" i="19" s="1"/>
  <c r="I7" i="19"/>
  <c r="J7" i="19" s="1"/>
  <c r="I8" i="19"/>
  <c r="J8" i="19" s="1"/>
  <c r="I9" i="19"/>
  <c r="J9" i="19" s="1"/>
  <c r="I10" i="19"/>
  <c r="J10" i="19" s="1"/>
  <c r="I5" i="19"/>
  <c r="J5" i="19" s="1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11" i="19"/>
  <c r="B8" i="19"/>
  <c r="B9" i="19"/>
  <c r="B10" i="19"/>
  <c r="N129" i="18"/>
  <c r="M129" i="18"/>
  <c r="L129" i="18"/>
  <c r="K129" i="18"/>
  <c r="J129" i="18"/>
  <c r="I129" i="18"/>
  <c r="H129" i="18"/>
  <c r="G129" i="18"/>
  <c r="F129" i="18"/>
  <c r="D95" i="18"/>
  <c r="D94" i="18"/>
  <c r="D49" i="18"/>
  <c r="D48" i="18"/>
  <c r="D33" i="18"/>
  <c r="D32" i="18"/>
  <c r="F39" i="18" s="1"/>
  <c r="E16" i="18"/>
  <c r="E18" i="18" s="1"/>
  <c r="K11" i="18"/>
  <c r="K10" i="18"/>
  <c r="E10" i="18"/>
  <c r="K9" i="18"/>
  <c r="K8" i="18"/>
  <c r="K7" i="18"/>
  <c r="K6" i="18"/>
  <c r="K5" i="18"/>
  <c r="K4" i="18"/>
  <c r="I8" i="13"/>
  <c r="D36" i="13"/>
  <c r="E36" i="13" s="1"/>
  <c r="D30" i="13"/>
  <c r="D32" i="13" s="1"/>
  <c r="D24" i="13"/>
  <c r="E24" i="13" s="1"/>
  <c r="F24" i="13" s="1"/>
  <c r="G24" i="13" s="1"/>
  <c r="H24" i="13" s="1"/>
  <c r="I24" i="13" s="1"/>
  <c r="J24" i="13" s="1"/>
  <c r="K24" i="13" s="1"/>
  <c r="L24" i="13" s="1"/>
  <c r="M24" i="13" s="1"/>
  <c r="M26" i="13" s="1"/>
  <c r="D18" i="13"/>
  <c r="D20" i="13" s="1"/>
  <c r="D12" i="13"/>
  <c r="D14" i="13" s="1"/>
  <c r="E30" i="13"/>
  <c r="F30" i="13" s="1"/>
  <c r="G30" i="13" s="1"/>
  <c r="H30" i="13" s="1"/>
  <c r="I30" i="13" s="1"/>
  <c r="J30" i="13" s="1"/>
  <c r="K30" i="13" s="1"/>
  <c r="L30" i="13" s="1"/>
  <c r="M30" i="13" s="1"/>
  <c r="M32" i="13" s="1"/>
  <c r="E124" i="18" l="1"/>
  <c r="F30" i="18"/>
  <c r="G30" i="18" s="1"/>
  <c r="H30" i="18" s="1"/>
  <c r="I30" i="18" s="1"/>
  <c r="J30" i="18" s="1"/>
  <c r="K30" i="18" s="1"/>
  <c r="L30" i="18" s="1"/>
  <c r="M30" i="18" s="1"/>
  <c r="N30" i="18" s="1"/>
  <c r="M9" i="19"/>
  <c r="H6" i="19"/>
  <c r="L6" i="19" s="1"/>
  <c r="M6" i="19" s="1"/>
  <c r="K8" i="19"/>
  <c r="M8" i="19" s="1"/>
  <c r="K11" i="19"/>
  <c r="K7" i="19"/>
  <c r="H7" i="19"/>
  <c r="L7" i="19" s="1"/>
  <c r="H10" i="19"/>
  <c r="L10" i="19" s="1"/>
  <c r="H5" i="19"/>
  <c r="L5" i="19" s="1"/>
  <c r="H11" i="19"/>
  <c r="L11" i="19" s="1"/>
  <c r="K5" i="19"/>
  <c r="H9" i="19"/>
  <c r="L9" i="19" s="1"/>
  <c r="M39" i="18"/>
  <c r="N39" i="18"/>
  <c r="E39" i="18"/>
  <c r="E34" i="18" s="1"/>
  <c r="E19" i="18"/>
  <c r="E26" i="18" s="1"/>
  <c r="E20" i="18"/>
  <c r="E22" i="18" s="1"/>
  <c r="E17" i="18"/>
  <c r="L39" i="18"/>
  <c r="H39" i="18"/>
  <c r="K39" i="18"/>
  <c r="G39" i="18"/>
  <c r="I39" i="18"/>
  <c r="F16" i="18"/>
  <c r="F34" i="18" s="1"/>
  <c r="J39" i="18"/>
  <c r="J32" i="13"/>
  <c r="K32" i="13"/>
  <c r="I26" i="13"/>
  <c r="E18" i="13"/>
  <c r="F18" i="13" s="1"/>
  <c r="G18" i="13" s="1"/>
  <c r="J26" i="13"/>
  <c r="E26" i="13"/>
  <c r="I32" i="13"/>
  <c r="I33" i="13" s="1"/>
  <c r="F26" i="13"/>
  <c r="H32" i="13"/>
  <c r="H33" i="13" s="1"/>
  <c r="F36" i="13"/>
  <c r="E38" i="13"/>
  <c r="D38" i="13"/>
  <c r="G26" i="13"/>
  <c r="K26" i="13"/>
  <c r="E32" i="13"/>
  <c r="L32" i="13"/>
  <c r="G32" i="13"/>
  <c r="G33" i="13" s="1"/>
  <c r="D26" i="13"/>
  <c r="H26" i="13"/>
  <c r="L26" i="13"/>
  <c r="F32" i="13"/>
  <c r="D13" i="13"/>
  <c r="E12" i="13"/>
  <c r="E28" i="18" l="1"/>
  <c r="E111" i="18" s="1"/>
  <c r="M7" i="19"/>
  <c r="M5" i="19"/>
  <c r="M11" i="19"/>
  <c r="E36" i="18"/>
  <c r="K14" i="19"/>
  <c r="K10" i="19"/>
  <c r="M10" i="19" s="1"/>
  <c r="K15" i="19"/>
  <c r="M15" i="19" s="1"/>
  <c r="K13" i="19"/>
  <c r="M13" i="19" s="1"/>
  <c r="H13" i="19"/>
  <c r="L13" i="19" s="1"/>
  <c r="H15" i="19"/>
  <c r="L15" i="19" s="1"/>
  <c r="H14" i="19"/>
  <c r="L14" i="19" s="1"/>
  <c r="H12" i="19"/>
  <c r="L12" i="19" s="1"/>
  <c r="K12" i="19"/>
  <c r="E24" i="18"/>
  <c r="E96" i="18" s="1"/>
  <c r="E126" i="18"/>
  <c r="E127" i="18"/>
  <c r="F17" i="18"/>
  <c r="G16" i="18"/>
  <c r="F124" i="18"/>
  <c r="F18" i="18"/>
  <c r="E20" i="13"/>
  <c r="F20" i="13"/>
  <c r="H18" i="13"/>
  <c r="G20" i="13"/>
  <c r="G36" i="13"/>
  <c r="F38" i="13"/>
  <c r="F39" i="13" s="1"/>
  <c r="F12" i="13"/>
  <c r="E14" i="13"/>
  <c r="E65" i="18" l="1"/>
  <c r="E109" i="18"/>
  <c r="E114" i="18" s="1"/>
  <c r="E50" i="18"/>
  <c r="E52" i="18" s="1"/>
  <c r="E63" i="18"/>
  <c r="M12" i="19"/>
  <c r="M14" i="19"/>
  <c r="H18" i="19"/>
  <c r="L18" i="19" s="1"/>
  <c r="K18" i="19"/>
  <c r="M18" i="19" s="1"/>
  <c r="H19" i="19"/>
  <c r="L19" i="19" s="1"/>
  <c r="K19" i="19"/>
  <c r="H16" i="19"/>
  <c r="L16" i="19" s="1"/>
  <c r="K16" i="19"/>
  <c r="M16" i="19" s="1"/>
  <c r="H17" i="19"/>
  <c r="L17" i="19" s="1"/>
  <c r="K17" i="19"/>
  <c r="E130" i="18"/>
  <c r="E131" i="18" s="1"/>
  <c r="E188" i="18"/>
  <c r="E182" i="18"/>
  <c r="E185" i="18"/>
  <c r="E179" i="18"/>
  <c r="G34" i="18"/>
  <c r="E128" i="18"/>
  <c r="E132" i="18"/>
  <c r="E67" i="18"/>
  <c r="E77" i="18" s="1"/>
  <c r="E75" i="18" s="1"/>
  <c r="E73" i="18"/>
  <c r="F19" i="18"/>
  <c r="F26" i="18" s="1"/>
  <c r="F20" i="18"/>
  <c r="E119" i="18"/>
  <c r="E113" i="18"/>
  <c r="F37" i="18"/>
  <c r="F40" i="18" s="1"/>
  <c r="F127" i="18"/>
  <c r="H16" i="18"/>
  <c r="H34" i="18" s="1"/>
  <c r="G18" i="18"/>
  <c r="G124" i="18"/>
  <c r="G17" i="18"/>
  <c r="I18" i="13"/>
  <c r="H20" i="13"/>
  <c r="H36" i="13"/>
  <c r="G38" i="13"/>
  <c r="G39" i="13" s="1"/>
  <c r="G12" i="13"/>
  <c r="F14" i="13"/>
  <c r="E112" i="18" l="1"/>
  <c r="E116" i="18" s="1"/>
  <c r="E118" i="18" s="1"/>
  <c r="E68" i="18"/>
  <c r="E66" i="18"/>
  <c r="E70" i="18" s="1"/>
  <c r="E72" i="18" s="1"/>
  <c r="E78" i="18"/>
  <c r="E173" i="18"/>
  <c r="E176" i="18"/>
  <c r="E170" i="18"/>
  <c r="E167" i="18"/>
  <c r="F109" i="18"/>
  <c r="F28" i="18"/>
  <c r="F63" i="18"/>
  <c r="E101" i="18"/>
  <c r="E142" i="18" s="1"/>
  <c r="E137" i="18"/>
  <c r="E140" i="18" s="1"/>
  <c r="E144" i="18" s="1"/>
  <c r="M17" i="19"/>
  <c r="M19" i="19"/>
  <c r="F22" i="18"/>
  <c r="F24" i="18" s="1"/>
  <c r="F36" i="18"/>
  <c r="H22" i="19"/>
  <c r="L22" i="19" s="1"/>
  <c r="K22" i="19"/>
  <c r="M22" i="19" s="1"/>
  <c r="K21" i="19"/>
  <c r="H21" i="19"/>
  <c r="L21" i="19" s="1"/>
  <c r="H20" i="19"/>
  <c r="L20" i="19" s="1"/>
  <c r="K20" i="19"/>
  <c r="M20" i="19" s="1"/>
  <c r="K23" i="19"/>
  <c r="H23" i="19"/>
  <c r="L23" i="19" s="1"/>
  <c r="E99" i="18"/>
  <c r="E155" i="18" s="1"/>
  <c r="E98" i="18"/>
  <c r="E123" i="18"/>
  <c r="E121" i="18" s="1"/>
  <c r="E172" i="18"/>
  <c r="E169" i="18"/>
  <c r="E178" i="18"/>
  <c r="E175" i="18"/>
  <c r="F130" i="18"/>
  <c r="F131" i="18" s="1"/>
  <c r="F188" i="18"/>
  <c r="F185" i="18"/>
  <c r="F182" i="18"/>
  <c r="F179" i="18"/>
  <c r="E136" i="18"/>
  <c r="E134" i="18" s="1"/>
  <c r="E190" i="18"/>
  <c r="E187" i="18"/>
  <c r="E184" i="18"/>
  <c r="E181" i="18"/>
  <c r="G37" i="18"/>
  <c r="G40" i="18" s="1"/>
  <c r="F126" i="18"/>
  <c r="H18" i="18"/>
  <c r="H17" i="18"/>
  <c r="I16" i="18"/>
  <c r="I34" i="18" s="1"/>
  <c r="H124" i="18"/>
  <c r="G127" i="18"/>
  <c r="G20" i="18"/>
  <c r="G19" i="18"/>
  <c r="J18" i="13"/>
  <c r="I20" i="13"/>
  <c r="I36" i="13"/>
  <c r="H38" i="13"/>
  <c r="H39" i="13" s="1"/>
  <c r="H12" i="13"/>
  <c r="G14" i="13"/>
  <c r="D31" i="13"/>
  <c r="E37" i="13"/>
  <c r="D37" i="13"/>
  <c r="E25" i="13"/>
  <c r="D25" i="13"/>
  <c r="E19" i="13"/>
  <c r="D19" i="13"/>
  <c r="D16" i="13"/>
  <c r="G26" i="18" l="1"/>
  <c r="G109" i="18" s="1"/>
  <c r="F111" i="18"/>
  <c r="F65" i="18"/>
  <c r="G28" i="18"/>
  <c r="F68" i="18"/>
  <c r="F66" i="18"/>
  <c r="F70" i="18" s="1"/>
  <c r="F72" i="18" s="1"/>
  <c r="F114" i="18"/>
  <c r="F112" i="18"/>
  <c r="M23" i="19"/>
  <c r="M21" i="19"/>
  <c r="F50" i="18"/>
  <c r="F53" i="18" s="1"/>
  <c r="F56" i="18" s="1"/>
  <c r="F96" i="18"/>
  <c r="F98" i="18" s="1"/>
  <c r="G22" i="18"/>
  <c r="G24" i="18" s="1"/>
  <c r="H27" i="19"/>
  <c r="L27" i="19" s="1"/>
  <c r="K27" i="19"/>
  <c r="H26" i="19"/>
  <c r="L26" i="19" s="1"/>
  <c r="K26" i="19"/>
  <c r="H24" i="19"/>
  <c r="L24" i="19" s="1"/>
  <c r="K24" i="19"/>
  <c r="K25" i="19"/>
  <c r="H25" i="19"/>
  <c r="L25" i="19" s="1"/>
  <c r="E100" i="18"/>
  <c r="E104" i="18"/>
  <c r="E147" i="18" s="1"/>
  <c r="E139" i="18"/>
  <c r="E141" i="18" s="1"/>
  <c r="E151" i="18" s="1"/>
  <c r="E149" i="18" s="1"/>
  <c r="E161" i="18"/>
  <c r="E197" i="18" s="1"/>
  <c r="E164" i="18"/>
  <c r="E200" i="18" s="1"/>
  <c r="E158" i="18"/>
  <c r="E194" i="18" s="1"/>
  <c r="E191" i="18"/>
  <c r="E102" i="18"/>
  <c r="E103" i="18" s="1"/>
  <c r="G130" i="18"/>
  <c r="G131" i="18" s="1"/>
  <c r="G188" i="18"/>
  <c r="G185" i="18"/>
  <c r="G182" i="18"/>
  <c r="G179" i="18"/>
  <c r="F38" i="18"/>
  <c r="F46" i="18" s="1"/>
  <c r="F128" i="18"/>
  <c r="F132" i="18"/>
  <c r="H127" i="18"/>
  <c r="E146" i="18"/>
  <c r="I124" i="18"/>
  <c r="I17" i="18"/>
  <c r="I18" i="18"/>
  <c r="J16" i="18"/>
  <c r="J34" i="18" s="1"/>
  <c r="I37" i="18"/>
  <c r="I40" i="18" s="1"/>
  <c r="G126" i="18"/>
  <c r="H37" i="18"/>
  <c r="H40" i="18" s="1"/>
  <c r="G36" i="18"/>
  <c r="H20" i="18"/>
  <c r="H19" i="18"/>
  <c r="K18" i="13"/>
  <c r="J20" i="13"/>
  <c r="J36" i="13"/>
  <c r="I38" i="13"/>
  <c r="I39" i="13" s="1"/>
  <c r="I12" i="13"/>
  <c r="H14" i="13"/>
  <c r="D15" i="13"/>
  <c r="E39" i="13"/>
  <c r="E40" i="13"/>
  <c r="F37" i="13"/>
  <c r="D40" i="13"/>
  <c r="D39" i="13"/>
  <c r="E31" i="13"/>
  <c r="D33" i="13"/>
  <c r="D34" i="13"/>
  <c r="D28" i="13"/>
  <c r="D27" i="13"/>
  <c r="E27" i="13"/>
  <c r="E28" i="13"/>
  <c r="F25" i="13"/>
  <c r="D22" i="13"/>
  <c r="D21" i="13"/>
  <c r="F19" i="13"/>
  <c r="E21" i="13"/>
  <c r="E22" i="13"/>
  <c r="E13" i="13"/>
  <c r="G63" i="18" l="1"/>
  <c r="G66" i="18" s="1"/>
  <c r="G70" i="18" s="1"/>
  <c r="F139" i="18"/>
  <c r="F141" i="18" s="1"/>
  <c r="F151" i="18" s="1"/>
  <c r="G112" i="18"/>
  <c r="G167" i="18" s="1"/>
  <c r="G114" i="18"/>
  <c r="H26" i="18"/>
  <c r="H28" i="18" s="1"/>
  <c r="H65" i="18" s="1"/>
  <c r="F137" i="18"/>
  <c r="F140" i="18" s="1"/>
  <c r="F144" i="18" s="1"/>
  <c r="G72" i="18"/>
  <c r="G68" i="18"/>
  <c r="F173" i="18"/>
  <c r="F116" i="18"/>
  <c r="F118" i="18" s="1"/>
  <c r="F170" i="18"/>
  <c r="F167" i="18"/>
  <c r="F176" i="18"/>
  <c r="G111" i="18"/>
  <c r="G65" i="18"/>
  <c r="F119" i="18"/>
  <c r="F113" i="18"/>
  <c r="F67" i="18"/>
  <c r="F77" i="18" s="1"/>
  <c r="F75" i="18" s="1"/>
  <c r="F73" i="18"/>
  <c r="F55" i="18"/>
  <c r="F83" i="18" s="1"/>
  <c r="F101" i="18"/>
  <c r="F142" i="18" s="1"/>
  <c r="F100" i="18"/>
  <c r="F157" i="18" s="1"/>
  <c r="G176" i="18"/>
  <c r="G173" i="18"/>
  <c r="M25" i="19"/>
  <c r="M24" i="19"/>
  <c r="M27" i="19"/>
  <c r="M26" i="19"/>
  <c r="F78" i="18"/>
  <c r="F81" i="18" s="1"/>
  <c r="F85" i="18" s="1"/>
  <c r="F52" i="18"/>
  <c r="F80" i="18" s="1"/>
  <c r="F82" i="18" s="1"/>
  <c r="F92" i="18" s="1"/>
  <c r="G50" i="18"/>
  <c r="G53" i="18" s="1"/>
  <c r="G56" i="18" s="1"/>
  <c r="G96" i="18"/>
  <c r="G98" i="18" s="1"/>
  <c r="G100" i="18" s="1"/>
  <c r="G157" i="18" s="1"/>
  <c r="F99" i="18"/>
  <c r="F102" i="18" s="1"/>
  <c r="F103" i="18" s="1"/>
  <c r="H22" i="18"/>
  <c r="H24" i="18" s="1"/>
  <c r="H50" i="18" s="1"/>
  <c r="K29" i="19"/>
  <c r="H29" i="19"/>
  <c r="L29" i="19" s="1"/>
  <c r="H31" i="19"/>
  <c r="L31" i="19" s="1"/>
  <c r="K31" i="19"/>
  <c r="K28" i="19"/>
  <c r="H28" i="19"/>
  <c r="L28" i="19" s="1"/>
  <c r="H30" i="19"/>
  <c r="L30" i="19" s="1"/>
  <c r="K30" i="19"/>
  <c r="E157" i="18"/>
  <c r="E193" i="18" s="1"/>
  <c r="E108" i="18"/>
  <c r="E106" i="18" s="1"/>
  <c r="E163" i="18"/>
  <c r="E199" i="18" s="1"/>
  <c r="E166" i="18"/>
  <c r="E202" i="18" s="1"/>
  <c r="E160" i="18"/>
  <c r="E196" i="18" s="1"/>
  <c r="F149" i="18"/>
  <c r="F104" i="18"/>
  <c r="H130" i="18"/>
  <c r="H131" i="18" s="1"/>
  <c r="H188" i="18"/>
  <c r="H185" i="18"/>
  <c r="H182" i="18"/>
  <c r="H179" i="18"/>
  <c r="F136" i="18"/>
  <c r="F134" i="18" s="1"/>
  <c r="F187" i="18"/>
  <c r="F184" i="18"/>
  <c r="F181" i="18"/>
  <c r="F190" i="18"/>
  <c r="H126" i="18"/>
  <c r="H36" i="18"/>
  <c r="H38" i="18" s="1"/>
  <c r="H46" i="18" s="1"/>
  <c r="I127" i="18"/>
  <c r="I125" i="18"/>
  <c r="I7" i="18" s="1"/>
  <c r="J124" i="18"/>
  <c r="J17" i="18"/>
  <c r="K16" i="18"/>
  <c r="K34" i="18" s="1"/>
  <c r="J18" i="18"/>
  <c r="G38" i="18"/>
  <c r="G46" i="18" s="1"/>
  <c r="G44" i="18" s="1"/>
  <c r="G132" i="18"/>
  <c r="G128" i="18"/>
  <c r="I19" i="18"/>
  <c r="I20" i="18"/>
  <c r="I22" i="18" s="1"/>
  <c r="L18" i="13"/>
  <c r="K20" i="13"/>
  <c r="K36" i="13"/>
  <c r="J38" i="13"/>
  <c r="J12" i="13"/>
  <c r="I14" i="13"/>
  <c r="F40" i="13"/>
  <c r="G37" i="13"/>
  <c r="E33" i="13"/>
  <c r="E34" i="13"/>
  <c r="F31" i="13"/>
  <c r="F28" i="13"/>
  <c r="F27" i="13"/>
  <c r="G25" i="13"/>
  <c r="F21" i="13"/>
  <c r="F22" i="13"/>
  <c r="G19" i="13"/>
  <c r="E15" i="13"/>
  <c r="E16" i="13"/>
  <c r="F13" i="13"/>
  <c r="G170" i="18" l="1"/>
  <c r="G116" i="18"/>
  <c r="H63" i="18"/>
  <c r="H66" i="18" s="1"/>
  <c r="H70" i="18" s="1"/>
  <c r="H72" i="18" s="1"/>
  <c r="H109" i="18"/>
  <c r="I26" i="18"/>
  <c r="I28" i="18" s="1"/>
  <c r="I65" i="18" s="1"/>
  <c r="I67" i="18" s="1"/>
  <c r="I77" i="18" s="1"/>
  <c r="G118" i="18"/>
  <c r="G73" i="18"/>
  <c r="H73" i="18" s="1"/>
  <c r="G67" i="18"/>
  <c r="G77" i="18" s="1"/>
  <c r="G75" i="18" s="1"/>
  <c r="H67" i="18"/>
  <c r="H77" i="18" s="1"/>
  <c r="H111" i="18"/>
  <c r="H113" i="18" s="1"/>
  <c r="H172" i="18" s="1"/>
  <c r="F178" i="18"/>
  <c r="F175" i="18"/>
  <c r="F169" i="18"/>
  <c r="F193" i="18" s="1"/>
  <c r="F123" i="18"/>
  <c r="F121" i="18" s="1"/>
  <c r="F172" i="18"/>
  <c r="G119" i="18"/>
  <c r="G113" i="18"/>
  <c r="G55" i="18"/>
  <c r="G83" i="18" s="1"/>
  <c r="F108" i="18"/>
  <c r="F106" i="18" s="1"/>
  <c r="F160" i="18"/>
  <c r="F166" i="18"/>
  <c r="F163" i="18"/>
  <c r="M28" i="19"/>
  <c r="M29" i="19"/>
  <c r="M30" i="19"/>
  <c r="M31" i="19"/>
  <c r="G137" i="18"/>
  <c r="F54" i="18"/>
  <c r="F62" i="18" s="1"/>
  <c r="G104" i="18"/>
  <c r="G52" i="18"/>
  <c r="G54" i="18" s="1"/>
  <c r="G62" i="18" s="1"/>
  <c r="G78" i="18"/>
  <c r="G81" i="18" s="1"/>
  <c r="G85" i="18" s="1"/>
  <c r="F161" i="18"/>
  <c r="F197" i="18" s="1"/>
  <c r="G101" i="18"/>
  <c r="G142" i="18" s="1"/>
  <c r="F158" i="18"/>
  <c r="F194" i="18" s="1"/>
  <c r="G139" i="18"/>
  <c r="G141" i="18" s="1"/>
  <c r="G151" i="18" s="1"/>
  <c r="G149" i="18" s="1"/>
  <c r="G99" i="18"/>
  <c r="G102" i="18" s="1"/>
  <c r="G103" i="18" s="1"/>
  <c r="H96" i="18"/>
  <c r="H98" i="18" s="1"/>
  <c r="F155" i="18"/>
  <c r="F191" i="18" s="1"/>
  <c r="F164" i="18"/>
  <c r="F200" i="18" s="1"/>
  <c r="H34" i="19"/>
  <c r="L34" i="19" s="1"/>
  <c r="K34" i="19"/>
  <c r="M34" i="19" s="1"/>
  <c r="K33" i="19"/>
  <c r="H33" i="19"/>
  <c r="L33" i="19" s="1"/>
  <c r="H32" i="19"/>
  <c r="L32" i="19" s="1"/>
  <c r="K32" i="19"/>
  <c r="M32" i="19" s="1"/>
  <c r="H35" i="19"/>
  <c r="L35" i="19" s="1"/>
  <c r="K35" i="19"/>
  <c r="G108" i="18"/>
  <c r="G163" i="18"/>
  <c r="G160" i="18"/>
  <c r="G166" i="18"/>
  <c r="F147" i="18"/>
  <c r="I130" i="18"/>
  <c r="I131" i="18" s="1"/>
  <c r="I179" i="18"/>
  <c r="I180" i="18" s="1"/>
  <c r="I188" i="18"/>
  <c r="I189" i="18" s="1"/>
  <c r="I185" i="18"/>
  <c r="I182" i="18"/>
  <c r="G136" i="18"/>
  <c r="G134" i="18" s="1"/>
  <c r="G190" i="18"/>
  <c r="G181" i="18"/>
  <c r="G187" i="18"/>
  <c r="G184" i="18"/>
  <c r="I23" i="18"/>
  <c r="I24" i="18"/>
  <c r="I50" i="18" s="1"/>
  <c r="H44" i="18"/>
  <c r="H132" i="18"/>
  <c r="H128" i="18"/>
  <c r="I21" i="18"/>
  <c r="J127" i="18"/>
  <c r="H55" i="18"/>
  <c r="H53" i="18"/>
  <c r="H56" i="18" s="1"/>
  <c r="H52" i="18"/>
  <c r="I126" i="18"/>
  <c r="J37" i="18"/>
  <c r="J40" i="18" s="1"/>
  <c r="J19" i="18"/>
  <c r="J20" i="18"/>
  <c r="J22" i="18" s="1"/>
  <c r="I11" i="18"/>
  <c r="F146" i="18"/>
  <c r="I36" i="18"/>
  <c r="L16" i="18"/>
  <c r="L34" i="18" s="1"/>
  <c r="K18" i="18"/>
  <c r="K124" i="18"/>
  <c r="K17" i="18"/>
  <c r="K37" i="18"/>
  <c r="K40" i="18" s="1"/>
  <c r="M18" i="13"/>
  <c r="M20" i="13" s="1"/>
  <c r="L20" i="13"/>
  <c r="L36" i="13"/>
  <c r="K38" i="13"/>
  <c r="K12" i="13"/>
  <c r="J14" i="13"/>
  <c r="G40" i="13"/>
  <c r="H37" i="13"/>
  <c r="F34" i="13"/>
  <c r="F33" i="13"/>
  <c r="G31" i="13"/>
  <c r="G28" i="13"/>
  <c r="G27" i="13"/>
  <c r="H25" i="13"/>
  <c r="G22" i="13"/>
  <c r="G21" i="13"/>
  <c r="H19" i="13"/>
  <c r="G13" i="13"/>
  <c r="F16" i="13"/>
  <c r="F15" i="13"/>
  <c r="H68" i="18" l="1"/>
  <c r="H78" i="18"/>
  <c r="H81" i="18" s="1"/>
  <c r="H85" i="18" s="1"/>
  <c r="I109" i="18"/>
  <c r="I110" i="18" s="1"/>
  <c r="I10" i="18" s="1"/>
  <c r="J26" i="18"/>
  <c r="J109" i="18" s="1"/>
  <c r="I27" i="18"/>
  <c r="I63" i="18"/>
  <c r="H112" i="18"/>
  <c r="H114" i="18"/>
  <c r="H83" i="18"/>
  <c r="H169" i="18"/>
  <c r="H175" i="18"/>
  <c r="H123" i="18"/>
  <c r="H139" i="18"/>
  <c r="H141" i="18" s="1"/>
  <c r="H151" i="18" s="1"/>
  <c r="H149" i="18" s="1"/>
  <c r="I75" i="18"/>
  <c r="F199" i="18"/>
  <c r="G147" i="18"/>
  <c r="F202" i="18"/>
  <c r="I73" i="18"/>
  <c r="I74" i="18" s="1"/>
  <c r="H178" i="18"/>
  <c r="I112" i="18"/>
  <c r="I170" i="18" s="1"/>
  <c r="F196" i="18"/>
  <c r="H119" i="18"/>
  <c r="G172" i="18"/>
  <c r="G196" i="18" s="1"/>
  <c r="G169" i="18"/>
  <c r="G193" i="18" s="1"/>
  <c r="G123" i="18"/>
  <c r="G121" i="18" s="1"/>
  <c r="G178" i="18"/>
  <c r="G202" i="18" s="1"/>
  <c r="G175" i="18"/>
  <c r="G199" i="18" s="1"/>
  <c r="I111" i="18"/>
  <c r="I113" i="18" s="1"/>
  <c r="I123" i="18" s="1"/>
  <c r="H75" i="18"/>
  <c r="G140" i="18"/>
  <c r="G144" i="18" s="1"/>
  <c r="G146" i="18" s="1"/>
  <c r="G106" i="18"/>
  <c r="G60" i="18"/>
  <c r="M35" i="19"/>
  <c r="M33" i="19"/>
  <c r="G80" i="18"/>
  <c r="G82" i="18" s="1"/>
  <c r="G92" i="18" s="1"/>
  <c r="G90" i="18" s="1"/>
  <c r="H137" i="18"/>
  <c r="H140" i="18" s="1"/>
  <c r="H144" i="18" s="1"/>
  <c r="G158" i="18"/>
  <c r="G194" i="18" s="1"/>
  <c r="G164" i="18"/>
  <c r="G200" i="18" s="1"/>
  <c r="G161" i="18"/>
  <c r="G197" i="18" s="1"/>
  <c r="G155" i="18"/>
  <c r="G191" i="18" s="1"/>
  <c r="H99" i="18"/>
  <c r="H155" i="18" s="1"/>
  <c r="H101" i="18"/>
  <c r="H100" i="18"/>
  <c r="H166" i="18" s="1"/>
  <c r="H104" i="18"/>
  <c r="H39" i="19"/>
  <c r="L39" i="19" s="1"/>
  <c r="K39" i="19"/>
  <c r="M39" i="19" s="1"/>
  <c r="K36" i="19"/>
  <c r="H36" i="19"/>
  <c r="L36" i="19" s="1"/>
  <c r="K37" i="19"/>
  <c r="H37" i="19"/>
  <c r="L37" i="19" s="1"/>
  <c r="H38" i="19"/>
  <c r="L38" i="19" s="1"/>
  <c r="K38" i="19"/>
  <c r="J130" i="18"/>
  <c r="J131" i="18" s="1"/>
  <c r="J188" i="18"/>
  <c r="J185" i="18"/>
  <c r="J182" i="18"/>
  <c r="J179" i="18"/>
  <c r="H136" i="18"/>
  <c r="H134" i="18" s="1"/>
  <c r="H190" i="18"/>
  <c r="H187" i="18"/>
  <c r="H184" i="18"/>
  <c r="H181" i="18"/>
  <c r="I186" i="18"/>
  <c r="I183" i="18"/>
  <c r="I96" i="18"/>
  <c r="I25" i="18"/>
  <c r="J36" i="18"/>
  <c r="J38" i="18" s="1"/>
  <c r="J46" i="18" s="1"/>
  <c r="J24" i="18"/>
  <c r="J50" i="18" s="1"/>
  <c r="K127" i="18"/>
  <c r="I38" i="18"/>
  <c r="I46" i="18" s="1"/>
  <c r="I44" i="18" s="1"/>
  <c r="K20" i="18"/>
  <c r="K19" i="18"/>
  <c r="H80" i="18"/>
  <c r="H82" i="18" s="1"/>
  <c r="H92" i="18" s="1"/>
  <c r="H54" i="18"/>
  <c r="H62" i="18" s="1"/>
  <c r="H60" i="18" s="1"/>
  <c r="L18" i="18"/>
  <c r="L17" i="18"/>
  <c r="M16" i="18"/>
  <c r="M34" i="18" s="1"/>
  <c r="L124" i="18"/>
  <c r="L37" i="18"/>
  <c r="L40" i="18" s="1"/>
  <c r="J126" i="18"/>
  <c r="I132" i="18"/>
  <c r="I128" i="18"/>
  <c r="I53" i="18"/>
  <c r="I56" i="18" s="1"/>
  <c r="I55" i="18"/>
  <c r="I52" i="18"/>
  <c r="M36" i="13"/>
  <c r="M38" i="13" s="1"/>
  <c r="L38" i="13"/>
  <c r="L12" i="13"/>
  <c r="K14" i="13"/>
  <c r="H40" i="13"/>
  <c r="H41" i="13" s="1"/>
  <c r="I37" i="13"/>
  <c r="G34" i="13"/>
  <c r="H31" i="13"/>
  <c r="H28" i="13"/>
  <c r="H29" i="13" s="1"/>
  <c r="H27" i="13"/>
  <c r="I25" i="13"/>
  <c r="H22" i="13"/>
  <c r="H23" i="13" s="1"/>
  <c r="H21" i="13"/>
  <c r="I19" i="13"/>
  <c r="G16" i="13"/>
  <c r="G15" i="13"/>
  <c r="H13" i="13"/>
  <c r="I114" i="18" l="1"/>
  <c r="I115" i="18" s="1"/>
  <c r="J28" i="18"/>
  <c r="J65" i="18" s="1"/>
  <c r="J67" i="18" s="1"/>
  <c r="J77" i="18" s="1"/>
  <c r="J75" i="18" s="1"/>
  <c r="J63" i="18"/>
  <c r="J68" i="18" s="1"/>
  <c r="J112" i="18"/>
  <c r="J176" i="18" s="1"/>
  <c r="J114" i="18"/>
  <c r="I66" i="18"/>
  <c r="I70" i="18" s="1"/>
  <c r="I64" i="18"/>
  <c r="I6" i="18" s="1"/>
  <c r="I68" i="18"/>
  <c r="I69" i="18" s="1"/>
  <c r="K26" i="18"/>
  <c r="K109" i="18" s="1"/>
  <c r="I78" i="18"/>
  <c r="I81" i="18" s="1"/>
  <c r="I85" i="18" s="1"/>
  <c r="K28" i="18"/>
  <c r="K111" i="18" s="1"/>
  <c r="K113" i="18" s="1"/>
  <c r="H142" i="18"/>
  <c r="H173" i="18"/>
  <c r="H170" i="18"/>
  <c r="I171" i="18" s="1"/>
  <c r="H176" i="18"/>
  <c r="H167" i="18"/>
  <c r="H191" i="18" s="1"/>
  <c r="H116" i="18"/>
  <c r="H118" i="18" s="1"/>
  <c r="I173" i="18"/>
  <c r="I167" i="18"/>
  <c r="I116" i="18"/>
  <c r="I117" i="18" s="1"/>
  <c r="I121" i="18"/>
  <c r="I175" i="18"/>
  <c r="I172" i="18"/>
  <c r="I76" i="18"/>
  <c r="I119" i="18"/>
  <c r="I120" i="18" s="1"/>
  <c r="I178" i="18"/>
  <c r="H147" i="18"/>
  <c r="I169" i="18"/>
  <c r="H121" i="18"/>
  <c r="I176" i="18"/>
  <c r="K63" i="18"/>
  <c r="K66" i="18" s="1"/>
  <c r="K70" i="18" s="1"/>
  <c r="H90" i="18"/>
  <c r="M38" i="19"/>
  <c r="M36" i="19"/>
  <c r="M37" i="19"/>
  <c r="H158" i="18"/>
  <c r="H202" i="18"/>
  <c r="H157" i="18"/>
  <c r="H193" i="18" s="1"/>
  <c r="H163" i="18"/>
  <c r="H199" i="18" s="1"/>
  <c r="H108" i="18"/>
  <c r="H106" i="18" s="1"/>
  <c r="H164" i="18"/>
  <c r="H102" i="18"/>
  <c r="H103" i="18" s="1"/>
  <c r="H161" i="18"/>
  <c r="H197" i="18" s="1"/>
  <c r="H160" i="18"/>
  <c r="H196" i="18" s="1"/>
  <c r="K22" i="18"/>
  <c r="K24" i="18" s="1"/>
  <c r="K50" i="18" s="1"/>
  <c r="K41" i="19"/>
  <c r="H41" i="19"/>
  <c r="L41" i="19" s="1"/>
  <c r="H40" i="19"/>
  <c r="L40" i="19" s="1"/>
  <c r="K40" i="19"/>
  <c r="M40" i="19" s="1"/>
  <c r="H42" i="19"/>
  <c r="L42" i="19" s="1"/>
  <c r="K42" i="19"/>
  <c r="I101" i="18"/>
  <c r="I142" i="18" s="1"/>
  <c r="I98" i="18"/>
  <c r="I136" i="18"/>
  <c r="I134" i="18" s="1"/>
  <c r="I135" i="18" s="1"/>
  <c r="I187" i="18"/>
  <c r="I184" i="18"/>
  <c r="I181" i="18"/>
  <c r="I190" i="18"/>
  <c r="K130" i="18"/>
  <c r="K131" i="18" s="1"/>
  <c r="K179" i="18"/>
  <c r="K188" i="18"/>
  <c r="K185" i="18"/>
  <c r="K182" i="18"/>
  <c r="I137" i="18"/>
  <c r="I99" i="18"/>
  <c r="I161" i="18" s="1"/>
  <c r="I97" i="18"/>
  <c r="I9" i="18" s="1"/>
  <c r="J55" i="18"/>
  <c r="J96" i="18"/>
  <c r="K36" i="18"/>
  <c r="K38" i="18" s="1"/>
  <c r="K46" i="18" s="1"/>
  <c r="K44" i="18" s="1"/>
  <c r="J44" i="18"/>
  <c r="I80" i="18"/>
  <c r="I82" i="18" s="1"/>
  <c r="I92" i="18" s="1"/>
  <c r="I90" i="18" s="1"/>
  <c r="I54" i="18"/>
  <c r="I62" i="18" s="1"/>
  <c r="I60" i="18" s="1"/>
  <c r="L20" i="18"/>
  <c r="L22" i="18" s="1"/>
  <c r="L19" i="18"/>
  <c r="L127" i="18"/>
  <c r="J78" i="18"/>
  <c r="J81" i="18" s="1"/>
  <c r="J85" i="18" s="1"/>
  <c r="J53" i="18"/>
  <c r="J56" i="18" s="1"/>
  <c r="I133" i="18"/>
  <c r="J128" i="18"/>
  <c r="J132" i="18"/>
  <c r="M17" i="18"/>
  <c r="N16" i="18"/>
  <c r="N34" i="18" s="1"/>
  <c r="M124" i="18"/>
  <c r="M18" i="18"/>
  <c r="M37" i="18"/>
  <c r="M40" i="18" s="1"/>
  <c r="H146" i="18"/>
  <c r="K126" i="18"/>
  <c r="M12" i="13"/>
  <c r="M14" i="13" s="1"/>
  <c r="L14" i="13"/>
  <c r="J37" i="13"/>
  <c r="I40" i="13"/>
  <c r="I31" i="13"/>
  <c r="H34" i="13"/>
  <c r="I27" i="13"/>
  <c r="I28" i="13"/>
  <c r="J25" i="13"/>
  <c r="J19" i="13"/>
  <c r="I21" i="13"/>
  <c r="I22" i="13"/>
  <c r="H15" i="13"/>
  <c r="H16" i="13"/>
  <c r="H17" i="13" s="1"/>
  <c r="I13" i="13"/>
  <c r="I174" i="18" l="1"/>
  <c r="I168" i="18"/>
  <c r="K65" i="18"/>
  <c r="K67" i="18" s="1"/>
  <c r="K77" i="18" s="1"/>
  <c r="K75" i="18" s="1"/>
  <c r="J73" i="18"/>
  <c r="K73" i="18" s="1"/>
  <c r="J111" i="18"/>
  <c r="J113" i="18" s="1"/>
  <c r="J178" i="18" s="1"/>
  <c r="J116" i="18"/>
  <c r="J83" i="18"/>
  <c r="J170" i="18"/>
  <c r="J66" i="18"/>
  <c r="J70" i="18" s="1"/>
  <c r="J167" i="18"/>
  <c r="K112" i="18"/>
  <c r="K176" i="18" s="1"/>
  <c r="K114" i="18"/>
  <c r="J173" i="18"/>
  <c r="L26" i="18"/>
  <c r="L109" i="18" s="1"/>
  <c r="L112" i="18" s="1"/>
  <c r="I83" i="18"/>
  <c r="H200" i="18"/>
  <c r="I143" i="18"/>
  <c r="H194" i="18"/>
  <c r="I177" i="18"/>
  <c r="I71" i="18"/>
  <c r="I72" i="18"/>
  <c r="J72" i="18" s="1"/>
  <c r="K72" i="18" s="1"/>
  <c r="I118" i="18"/>
  <c r="J118" i="18" s="1"/>
  <c r="I197" i="18"/>
  <c r="I198" i="18" s="1"/>
  <c r="M8" i="18" s="1"/>
  <c r="N8" i="18" s="1"/>
  <c r="K68" i="18"/>
  <c r="I122" i="18"/>
  <c r="I138" i="18"/>
  <c r="I12" i="18" s="1"/>
  <c r="K173" i="18"/>
  <c r="K170" i="18"/>
  <c r="M42" i="19"/>
  <c r="M41" i="19"/>
  <c r="K96" i="18"/>
  <c r="K98" i="18" s="1"/>
  <c r="K100" i="18" s="1"/>
  <c r="K160" i="18" s="1"/>
  <c r="I104" i="18"/>
  <c r="I139" i="18"/>
  <c r="I141" i="18" s="1"/>
  <c r="I151" i="18" s="1"/>
  <c r="I149" i="18" s="1"/>
  <c r="I150" i="18" s="1"/>
  <c r="I100" i="18"/>
  <c r="J137" i="18"/>
  <c r="J140" i="18" s="1"/>
  <c r="J144" i="18" s="1"/>
  <c r="J98" i="18"/>
  <c r="K123" i="18"/>
  <c r="K172" i="18"/>
  <c r="K178" i="18"/>
  <c r="K169" i="18"/>
  <c r="K175" i="18"/>
  <c r="J101" i="18"/>
  <c r="J142" i="18" s="1"/>
  <c r="I158" i="18"/>
  <c r="I159" i="18" s="1"/>
  <c r="L130" i="18"/>
  <c r="L131" i="18" s="1"/>
  <c r="L188" i="18"/>
  <c r="L185" i="18"/>
  <c r="L182" i="18"/>
  <c r="L179" i="18"/>
  <c r="J136" i="18"/>
  <c r="J134" i="18" s="1"/>
  <c r="J187" i="18"/>
  <c r="J184" i="18"/>
  <c r="J181" i="18"/>
  <c r="J190" i="18"/>
  <c r="I155" i="18"/>
  <c r="I156" i="18" s="1"/>
  <c r="I102" i="18"/>
  <c r="I103" i="18" s="1"/>
  <c r="I164" i="18"/>
  <c r="I200" i="18" s="1"/>
  <c r="I140" i="18"/>
  <c r="I144" i="18" s="1"/>
  <c r="I145" i="18" s="1"/>
  <c r="J99" i="18"/>
  <c r="J164" i="18" s="1"/>
  <c r="J200" i="18" s="1"/>
  <c r="J52" i="18"/>
  <c r="J80" i="18" s="1"/>
  <c r="J82" i="18" s="1"/>
  <c r="J92" i="18" s="1"/>
  <c r="J90" i="18" s="1"/>
  <c r="L36" i="18"/>
  <c r="L38" i="18" s="1"/>
  <c r="L46" i="18" s="1"/>
  <c r="L44" i="18" s="1"/>
  <c r="L24" i="18"/>
  <c r="L50" i="18" s="1"/>
  <c r="L126" i="18"/>
  <c r="I194" i="18"/>
  <c r="I195" i="18" s="1"/>
  <c r="M6" i="18" s="1"/>
  <c r="N6" i="18" s="1"/>
  <c r="M127" i="18"/>
  <c r="K132" i="18"/>
  <c r="K128" i="18"/>
  <c r="N17" i="18"/>
  <c r="N124" i="18"/>
  <c r="N18" i="18"/>
  <c r="K78" i="18"/>
  <c r="K81" i="18" s="1"/>
  <c r="K85" i="18" s="1"/>
  <c r="K55" i="18"/>
  <c r="K53" i="18"/>
  <c r="K56" i="18" s="1"/>
  <c r="K52" i="18"/>
  <c r="M19" i="18"/>
  <c r="M26" i="18" s="1"/>
  <c r="M20" i="18"/>
  <c r="I162" i="18"/>
  <c r="J39" i="13"/>
  <c r="J40" i="13"/>
  <c r="K37" i="13"/>
  <c r="I34" i="13"/>
  <c r="J31" i="13"/>
  <c r="H35" i="13"/>
  <c r="K25" i="13"/>
  <c r="J27" i="13"/>
  <c r="J28" i="13"/>
  <c r="J22" i="13"/>
  <c r="J21" i="13"/>
  <c r="K19" i="13"/>
  <c r="J13" i="13"/>
  <c r="I15" i="13"/>
  <c r="I16" i="13"/>
  <c r="L114" i="18" l="1"/>
  <c r="K167" i="18"/>
  <c r="J175" i="18"/>
  <c r="J169" i="18"/>
  <c r="J172" i="18"/>
  <c r="J123" i="18"/>
  <c r="J121" i="18" s="1"/>
  <c r="K116" i="18"/>
  <c r="K118" i="18" s="1"/>
  <c r="J119" i="18"/>
  <c r="K119" i="18" s="1"/>
  <c r="L28" i="18"/>
  <c r="L111" i="18" s="1"/>
  <c r="L113" i="18" s="1"/>
  <c r="L175" i="18" s="1"/>
  <c r="I201" i="18"/>
  <c r="M10" i="18" s="1"/>
  <c r="N10" i="18" s="1"/>
  <c r="L63" i="18"/>
  <c r="L78" i="18" s="1"/>
  <c r="L81" i="18" s="1"/>
  <c r="L85" i="18" s="1"/>
  <c r="K83" i="18"/>
  <c r="L65" i="18"/>
  <c r="L67" i="18" s="1"/>
  <c r="L77" i="18" s="1"/>
  <c r="L75" i="18" s="1"/>
  <c r="M63" i="18"/>
  <c r="M66" i="18" s="1"/>
  <c r="M70" i="18" s="1"/>
  <c r="M109" i="18"/>
  <c r="M112" i="18" s="1"/>
  <c r="K163" i="18"/>
  <c r="K101" i="18"/>
  <c r="K142" i="18" s="1"/>
  <c r="K108" i="18"/>
  <c r="K157" i="18"/>
  <c r="K99" i="18"/>
  <c r="K161" i="18" s="1"/>
  <c r="K197" i="18" s="1"/>
  <c r="K166" i="18"/>
  <c r="K137" i="18"/>
  <c r="K140" i="18" s="1"/>
  <c r="K144" i="18" s="1"/>
  <c r="K139" i="18"/>
  <c r="K141" i="18" s="1"/>
  <c r="K151" i="18" s="1"/>
  <c r="L167" i="18"/>
  <c r="L176" i="18"/>
  <c r="L173" i="18"/>
  <c r="L170" i="18"/>
  <c r="L116" i="18"/>
  <c r="M22" i="18"/>
  <c r="M24" i="18" s="1"/>
  <c r="I166" i="18"/>
  <c r="I202" i="18" s="1"/>
  <c r="M11" i="18" s="1"/>
  <c r="N11" i="18" s="1"/>
  <c r="I108" i="18"/>
  <c r="I106" i="18" s="1"/>
  <c r="I107" i="18" s="1"/>
  <c r="I160" i="18"/>
  <c r="I196" i="18" s="1"/>
  <c r="M7" i="18" s="1"/>
  <c r="N7" i="18" s="1"/>
  <c r="I163" i="18"/>
  <c r="I199" i="18" s="1"/>
  <c r="M9" i="18" s="1"/>
  <c r="N9" i="18" s="1"/>
  <c r="I157" i="18"/>
  <c r="I193" i="18" s="1"/>
  <c r="M5" i="18" s="1"/>
  <c r="N5" i="18" s="1"/>
  <c r="J100" i="18"/>
  <c r="J139" i="18"/>
  <c r="J141" i="18" s="1"/>
  <c r="J151" i="18" s="1"/>
  <c r="J104" i="18"/>
  <c r="I105" i="18"/>
  <c r="I147" i="18"/>
  <c r="I148" i="18" s="1"/>
  <c r="I165" i="18"/>
  <c r="J54" i="18"/>
  <c r="J62" i="18" s="1"/>
  <c r="J60" i="18" s="1"/>
  <c r="K136" i="18"/>
  <c r="K134" i="18" s="1"/>
  <c r="K190" i="18"/>
  <c r="K184" i="18"/>
  <c r="K196" i="18" s="1"/>
  <c r="K181" i="18"/>
  <c r="K187" i="18"/>
  <c r="J102" i="18"/>
  <c r="J103" i="18" s="1"/>
  <c r="I191" i="18"/>
  <c r="I192" i="18" s="1"/>
  <c r="M4" i="18" s="1"/>
  <c r="N4" i="18" s="1"/>
  <c r="M130" i="18"/>
  <c r="M131" i="18" s="1"/>
  <c r="M185" i="18"/>
  <c r="M182" i="18"/>
  <c r="M179" i="18"/>
  <c r="M188" i="18"/>
  <c r="J161" i="18"/>
  <c r="J197" i="18" s="1"/>
  <c r="J158" i="18"/>
  <c r="J194" i="18" s="1"/>
  <c r="J155" i="18"/>
  <c r="J191" i="18" s="1"/>
  <c r="I146" i="18"/>
  <c r="J146" i="18" s="1"/>
  <c r="L96" i="18"/>
  <c r="L128" i="18"/>
  <c r="L132" i="18"/>
  <c r="L55" i="18"/>
  <c r="L53" i="18"/>
  <c r="L56" i="18" s="1"/>
  <c r="L52" i="18"/>
  <c r="N127" i="18"/>
  <c r="N125" i="18"/>
  <c r="N37" i="18"/>
  <c r="N40" i="18" s="1"/>
  <c r="M126" i="18"/>
  <c r="K80" i="18"/>
  <c r="K82" i="18" s="1"/>
  <c r="K92" i="18" s="1"/>
  <c r="K90" i="18" s="1"/>
  <c r="K54" i="18"/>
  <c r="K62" i="18" s="1"/>
  <c r="M36" i="18"/>
  <c r="N19" i="18"/>
  <c r="N20" i="18"/>
  <c r="N22" i="18" s="1"/>
  <c r="K40" i="13"/>
  <c r="K39" i="13"/>
  <c r="L37" i="13"/>
  <c r="J34" i="13"/>
  <c r="J33" i="13"/>
  <c r="K31" i="13"/>
  <c r="K28" i="13"/>
  <c r="K27" i="13"/>
  <c r="L25" i="13"/>
  <c r="L19" i="13"/>
  <c r="K22" i="13"/>
  <c r="K21" i="13"/>
  <c r="K13" i="13"/>
  <c r="J16" i="13"/>
  <c r="J15" i="13"/>
  <c r="L169" i="18" l="1"/>
  <c r="L178" i="18"/>
  <c r="L123" i="18"/>
  <c r="L121" i="18" s="1"/>
  <c r="L172" i="18"/>
  <c r="M28" i="18"/>
  <c r="M65" i="18" s="1"/>
  <c r="M67" i="18" s="1"/>
  <c r="M77" i="18" s="1"/>
  <c r="M75" i="18" s="1"/>
  <c r="K121" i="18"/>
  <c r="L119" i="18"/>
  <c r="M114" i="18"/>
  <c r="N26" i="18"/>
  <c r="N27" i="18" s="1"/>
  <c r="L66" i="18"/>
  <c r="L70" i="18" s="1"/>
  <c r="L72" i="18" s="1"/>
  <c r="M72" i="18" s="1"/>
  <c r="L68" i="18"/>
  <c r="L83" i="18" s="1"/>
  <c r="L73" i="18"/>
  <c r="M68" i="18"/>
  <c r="K199" i="18"/>
  <c r="N109" i="18"/>
  <c r="K202" i="18"/>
  <c r="K102" i="18"/>
  <c r="K103" i="18" s="1"/>
  <c r="L118" i="18"/>
  <c r="K193" i="18"/>
  <c r="K155" i="18"/>
  <c r="K191" i="18" s="1"/>
  <c r="K164" i="18"/>
  <c r="K200" i="18" s="1"/>
  <c r="M173" i="18"/>
  <c r="M167" i="18"/>
  <c r="M176" i="18"/>
  <c r="M170" i="18"/>
  <c r="M116" i="18"/>
  <c r="K158" i="18"/>
  <c r="K194" i="18" s="1"/>
  <c r="K146" i="18"/>
  <c r="M50" i="18"/>
  <c r="M78" i="18" s="1"/>
  <c r="M81" i="18" s="1"/>
  <c r="M85" i="18" s="1"/>
  <c r="M96" i="18"/>
  <c r="M98" i="18" s="1"/>
  <c r="M100" i="18" s="1"/>
  <c r="M166" i="18" s="1"/>
  <c r="K60" i="18"/>
  <c r="J149" i="18"/>
  <c r="K149" i="18"/>
  <c r="J157" i="18"/>
  <c r="J193" i="18" s="1"/>
  <c r="J166" i="18"/>
  <c r="J202" i="18" s="1"/>
  <c r="J108" i="18"/>
  <c r="J160" i="18"/>
  <c r="J196" i="18" s="1"/>
  <c r="J163" i="18"/>
  <c r="J199" i="18" s="1"/>
  <c r="L137" i="18"/>
  <c r="L140" i="18" s="1"/>
  <c r="L144" i="18" s="1"/>
  <c r="L98" i="18"/>
  <c r="J147" i="18"/>
  <c r="K104" i="18"/>
  <c r="K147" i="18" s="1"/>
  <c r="L99" i="18"/>
  <c r="L158" i="18" s="1"/>
  <c r="L194" i="18" s="1"/>
  <c r="N130" i="18"/>
  <c r="N131" i="18" s="1"/>
  <c r="N188" i="18"/>
  <c r="N189" i="18" s="1"/>
  <c r="N185" i="18"/>
  <c r="N186" i="18" s="1"/>
  <c r="N182" i="18"/>
  <c r="N183" i="18" s="1"/>
  <c r="N179" i="18"/>
  <c r="N180" i="18" s="1"/>
  <c r="L136" i="18"/>
  <c r="L134" i="18" s="1"/>
  <c r="L190" i="18"/>
  <c r="L187" i="18"/>
  <c r="L184" i="18"/>
  <c r="L181" i="18"/>
  <c r="L101" i="18"/>
  <c r="L142" i="18" s="1"/>
  <c r="N23" i="18"/>
  <c r="N24" i="18"/>
  <c r="N50" i="18" s="1"/>
  <c r="N21" i="18"/>
  <c r="N126" i="18"/>
  <c r="L80" i="18"/>
  <c r="L82" i="18" s="1"/>
  <c r="L92" i="18" s="1"/>
  <c r="L90" i="18" s="1"/>
  <c r="L54" i="18"/>
  <c r="L62" i="18" s="1"/>
  <c r="L60" i="18" s="1"/>
  <c r="M132" i="18"/>
  <c r="M128" i="18"/>
  <c r="N36" i="18"/>
  <c r="M38" i="18"/>
  <c r="M46" i="18" s="1"/>
  <c r="M44" i="18" s="1"/>
  <c r="L40" i="13"/>
  <c r="L39" i="13"/>
  <c r="M37" i="13"/>
  <c r="K34" i="13"/>
  <c r="K33" i="13"/>
  <c r="L31" i="13"/>
  <c r="M25" i="13"/>
  <c r="L27" i="13"/>
  <c r="L28" i="13"/>
  <c r="L21" i="13"/>
  <c r="L22" i="13"/>
  <c r="M19" i="13"/>
  <c r="L13" i="13"/>
  <c r="K16" i="13"/>
  <c r="K15" i="13"/>
  <c r="M73" i="18" l="1"/>
  <c r="M111" i="18"/>
  <c r="M119" i="18" s="1"/>
  <c r="N28" i="18"/>
  <c r="N111" i="18" s="1"/>
  <c r="N113" i="18" s="1"/>
  <c r="N178" i="18" s="1"/>
  <c r="M113" i="18"/>
  <c r="M169" i="18" s="1"/>
  <c r="N63" i="18"/>
  <c r="N112" i="18"/>
  <c r="N167" i="18" s="1"/>
  <c r="N168" i="18" s="1"/>
  <c r="N110" i="18"/>
  <c r="N114" i="18"/>
  <c r="N115" i="18" s="1"/>
  <c r="L146" i="18"/>
  <c r="M55" i="18"/>
  <c r="M83" i="18" s="1"/>
  <c r="M101" i="18"/>
  <c r="M142" i="18" s="1"/>
  <c r="M160" i="18"/>
  <c r="M137" i="18"/>
  <c r="M140" i="18" s="1"/>
  <c r="M144" i="18" s="1"/>
  <c r="M118" i="18"/>
  <c r="M52" i="18"/>
  <c r="M80" i="18" s="1"/>
  <c r="M82" i="18" s="1"/>
  <c r="M92" i="18" s="1"/>
  <c r="M90" i="18" s="1"/>
  <c r="M53" i="18"/>
  <c r="M56" i="18" s="1"/>
  <c r="M157" i="18"/>
  <c r="M163" i="18"/>
  <c r="M108" i="18"/>
  <c r="M99" i="18"/>
  <c r="M155" i="18" s="1"/>
  <c r="M191" i="18" s="1"/>
  <c r="L164" i="18"/>
  <c r="L200" i="18" s="1"/>
  <c r="L155" i="18"/>
  <c r="L191" i="18" s="1"/>
  <c r="L161" i="18"/>
  <c r="L197" i="18" s="1"/>
  <c r="J106" i="18"/>
  <c r="K106" i="18"/>
  <c r="L104" i="18"/>
  <c r="L100" i="18"/>
  <c r="L139" i="18"/>
  <c r="L141" i="18" s="1"/>
  <c r="L151" i="18" s="1"/>
  <c r="L149" i="18" s="1"/>
  <c r="L102" i="18"/>
  <c r="L103" i="18" s="1"/>
  <c r="M136" i="18"/>
  <c r="M134" i="18" s="1"/>
  <c r="M181" i="18"/>
  <c r="M187" i="18"/>
  <c r="M184" i="18"/>
  <c r="M190" i="18"/>
  <c r="N25" i="18"/>
  <c r="N96" i="18"/>
  <c r="N52" i="18"/>
  <c r="N55" i="18"/>
  <c r="N53" i="18"/>
  <c r="N56" i="18" s="1"/>
  <c r="N38" i="18"/>
  <c r="N46" i="18" s="1"/>
  <c r="N44" i="18" s="1"/>
  <c r="N132" i="18"/>
  <c r="N133" i="18" s="1"/>
  <c r="N128" i="18"/>
  <c r="M39" i="13"/>
  <c r="M40" i="13"/>
  <c r="M41" i="13" s="1"/>
  <c r="M31" i="13"/>
  <c r="L33" i="13"/>
  <c r="L34" i="13"/>
  <c r="M27" i="13"/>
  <c r="M28" i="13"/>
  <c r="M29" i="13" s="1"/>
  <c r="M21" i="13"/>
  <c r="M22" i="13"/>
  <c r="M23" i="13" s="1"/>
  <c r="L15" i="13"/>
  <c r="L16" i="13"/>
  <c r="M13" i="13"/>
  <c r="N172" i="18" l="1"/>
  <c r="N65" i="18"/>
  <c r="N67" i="18" s="1"/>
  <c r="N77" i="18" s="1"/>
  <c r="N75" i="18" s="1"/>
  <c r="N76" i="18" s="1"/>
  <c r="M178" i="18"/>
  <c r="N169" i="18"/>
  <c r="N123" i="18"/>
  <c r="M139" i="18"/>
  <c r="M141" i="18" s="1"/>
  <c r="M151" i="18" s="1"/>
  <c r="M149" i="18" s="1"/>
  <c r="N175" i="18"/>
  <c r="M172" i="18"/>
  <c r="M196" i="18" s="1"/>
  <c r="N119" i="18"/>
  <c r="N120" i="18" s="1"/>
  <c r="M123" i="18"/>
  <c r="M121" i="18" s="1"/>
  <c r="M175" i="18"/>
  <c r="M199" i="18" s="1"/>
  <c r="N64" i="18"/>
  <c r="N68" i="18"/>
  <c r="N69" i="18" s="1"/>
  <c r="N66" i="18"/>
  <c r="N70" i="18" s="1"/>
  <c r="M202" i="18"/>
  <c r="N73" i="18"/>
  <c r="N74" i="18" s="1"/>
  <c r="N176" i="18"/>
  <c r="N177" i="18" s="1"/>
  <c r="N170" i="18"/>
  <c r="N171" i="18" s="1"/>
  <c r="N173" i="18"/>
  <c r="N174" i="18" s="1"/>
  <c r="N116" i="18"/>
  <c r="N117" i="18" s="1"/>
  <c r="M146" i="18"/>
  <c r="M54" i="18"/>
  <c r="M62" i="18" s="1"/>
  <c r="M60" i="18" s="1"/>
  <c r="M193" i="18"/>
  <c r="M102" i="18"/>
  <c r="M103" i="18" s="1"/>
  <c r="M164" i="18"/>
  <c r="M200" i="18" s="1"/>
  <c r="M161" i="18"/>
  <c r="M197" i="18" s="1"/>
  <c r="M158" i="18"/>
  <c r="M194" i="18" s="1"/>
  <c r="L160" i="18"/>
  <c r="L196" i="18" s="1"/>
  <c r="L108" i="18"/>
  <c r="L166" i="18"/>
  <c r="L202" i="18" s="1"/>
  <c r="L163" i="18"/>
  <c r="L199" i="18" s="1"/>
  <c r="L157" i="18"/>
  <c r="L193" i="18" s="1"/>
  <c r="M104" i="18"/>
  <c r="M147" i="18" s="1"/>
  <c r="L147" i="18"/>
  <c r="N99" i="18"/>
  <c r="N164" i="18" s="1"/>
  <c r="N98" i="18"/>
  <c r="N101" i="18"/>
  <c r="N142" i="18" s="1"/>
  <c r="N143" i="18" s="1"/>
  <c r="N137" i="18"/>
  <c r="N138" i="18" s="1"/>
  <c r="N136" i="18"/>
  <c r="N134" i="18" s="1"/>
  <c r="N135" i="18" s="1"/>
  <c r="N187" i="18"/>
  <c r="N184" i="18"/>
  <c r="N181" i="18"/>
  <c r="N190" i="18"/>
  <c r="N97" i="18"/>
  <c r="N78" i="18"/>
  <c r="N81" i="18" s="1"/>
  <c r="N85" i="18" s="1"/>
  <c r="N54" i="18"/>
  <c r="N62" i="18" s="1"/>
  <c r="M33" i="13"/>
  <c r="M34" i="13"/>
  <c r="M35" i="13" s="1"/>
  <c r="M15" i="13"/>
  <c r="M16" i="13"/>
  <c r="N80" i="18" l="1"/>
  <c r="N82" i="18" s="1"/>
  <c r="N92" i="18" s="1"/>
  <c r="N90" i="18" s="1"/>
  <c r="N121" i="18"/>
  <c r="N122" i="18" s="1"/>
  <c r="N71" i="18"/>
  <c r="N72" i="18"/>
  <c r="N83" i="18"/>
  <c r="N118" i="18"/>
  <c r="N140" i="18"/>
  <c r="N144" i="18" s="1"/>
  <c r="N145" i="18" s="1"/>
  <c r="N60" i="18"/>
  <c r="N102" i="18"/>
  <c r="N103" i="18" s="1"/>
  <c r="N161" i="18"/>
  <c r="N162" i="18" s="1"/>
  <c r="N158" i="18"/>
  <c r="N194" i="18" s="1"/>
  <c r="N195" i="18" s="1"/>
  <c r="N155" i="18"/>
  <c r="N156" i="18" s="1"/>
  <c r="L106" i="18"/>
  <c r="M106" i="18"/>
  <c r="N139" i="18"/>
  <c r="N141" i="18" s="1"/>
  <c r="N151" i="18" s="1"/>
  <c r="N149" i="18" s="1"/>
  <c r="N150" i="18" s="1"/>
  <c r="N104" i="18"/>
  <c r="N147" i="18" s="1"/>
  <c r="N148" i="18" s="1"/>
  <c r="N100" i="18"/>
  <c r="N200" i="18"/>
  <c r="N201" i="18" s="1"/>
  <c r="N165" i="18"/>
  <c r="M17" i="13"/>
  <c r="E53" i="18"/>
  <c r="E56" i="18" s="1"/>
  <c r="E57" i="18" s="1"/>
  <c r="F57" i="18" s="1"/>
  <c r="G57" i="18" s="1"/>
  <c r="H57" i="18" s="1"/>
  <c r="I57" i="18" s="1"/>
  <c r="J57" i="18" s="1"/>
  <c r="K57" i="18" s="1"/>
  <c r="L57" i="18" s="1"/>
  <c r="M57" i="18" s="1"/>
  <c r="N57" i="18" s="1"/>
  <c r="E55" i="18"/>
  <c r="E83" i="18" s="1"/>
  <c r="I84" i="18" s="1"/>
  <c r="N51" i="18"/>
  <c r="N35" i="18"/>
  <c r="E37" i="18"/>
  <c r="E40" i="18" s="1"/>
  <c r="E41" i="18" s="1"/>
  <c r="F41" i="18" s="1"/>
  <c r="G41" i="18" s="1"/>
  <c r="H41" i="18" s="1"/>
  <c r="I41" i="18" s="1"/>
  <c r="J41" i="18" s="1"/>
  <c r="K41" i="18" s="1"/>
  <c r="L41" i="18" s="1"/>
  <c r="M41" i="18" s="1"/>
  <c r="N41" i="18" s="1"/>
  <c r="I35" i="18"/>
  <c r="N146" i="18" l="1"/>
  <c r="N191" i="18"/>
  <c r="N192" i="18" s="1"/>
  <c r="N197" i="18"/>
  <c r="N198" i="18" s="1"/>
  <c r="N159" i="18"/>
  <c r="N157" i="18"/>
  <c r="N193" i="18" s="1"/>
  <c r="N166" i="18"/>
  <c r="N202" i="18" s="1"/>
  <c r="N108" i="18"/>
  <c r="N106" i="18" s="1"/>
  <c r="N107" i="18" s="1"/>
  <c r="N160" i="18"/>
  <c r="N196" i="18" s="1"/>
  <c r="N163" i="18"/>
  <c r="N199" i="18" s="1"/>
  <c r="N105" i="18"/>
  <c r="E38" i="18"/>
  <c r="E46" i="18" s="1"/>
  <c r="E42" i="18"/>
  <c r="N84" i="18"/>
  <c r="I51" i="18"/>
  <c r="I5" i="18" s="1"/>
  <c r="E80" i="18" l="1"/>
  <c r="E82" i="18" s="1"/>
  <c r="E92" i="18" s="1"/>
  <c r="E54" i="18"/>
  <c r="E62" i="18" s="1"/>
  <c r="E58" i="18"/>
  <c r="F44" i="18"/>
  <c r="E44" i="18"/>
  <c r="E81" i="18"/>
  <c r="E85" i="18" s="1"/>
  <c r="I79" i="18"/>
  <c r="I8" i="18" s="1"/>
  <c r="N79" i="18"/>
  <c r="F42" i="18"/>
  <c r="G42" i="18" s="1"/>
  <c r="H42" i="18" s="1"/>
  <c r="I42" i="18" s="1"/>
  <c r="J42" i="18" s="1"/>
  <c r="K42" i="18" s="1"/>
  <c r="L42" i="18" s="1"/>
  <c r="M42" i="18" s="1"/>
  <c r="N42" i="18" s="1"/>
  <c r="I43" i="18" l="1"/>
  <c r="I4" i="18" s="1"/>
  <c r="E88" i="18"/>
  <c r="F58" i="18"/>
  <c r="E60" i="18"/>
  <c r="F60" i="18"/>
  <c r="N86" i="18"/>
  <c r="E87" i="18"/>
  <c r="F87" i="18" s="1"/>
  <c r="G87" i="18" s="1"/>
  <c r="H87" i="18" s="1"/>
  <c r="I87" i="18" s="1"/>
  <c r="J87" i="18" s="1"/>
  <c r="K87" i="18" s="1"/>
  <c r="L87" i="18" s="1"/>
  <c r="M87" i="18" s="1"/>
  <c r="N87" i="18" s="1"/>
  <c r="I86" i="18"/>
  <c r="N43" i="18"/>
  <c r="N45" i="18"/>
  <c r="I45" i="18"/>
  <c r="E90" i="18"/>
  <c r="F90" i="18"/>
  <c r="G58" i="18" l="1"/>
  <c r="F88" i="18"/>
  <c r="N91" i="18"/>
  <c r="I91" i="18"/>
  <c r="I61" i="18"/>
  <c r="N61" i="18"/>
  <c r="G88" i="18" l="1"/>
  <c r="H58" i="18"/>
  <c r="I58" i="18" l="1"/>
  <c r="I59" i="18" s="1"/>
  <c r="H88" i="18"/>
  <c r="J58" i="18" l="1"/>
  <c r="I88" i="18"/>
  <c r="J88" i="18" l="1"/>
  <c r="K58" i="18"/>
  <c r="I89" i="18"/>
  <c r="L58" i="18" l="1"/>
  <c r="K88" i="18"/>
  <c r="L88" i="18" l="1"/>
  <c r="M58" i="18"/>
  <c r="N58" i="18" l="1"/>
  <c r="N88" i="18" s="1"/>
  <c r="M88" i="18"/>
  <c r="N59" i="18" l="1"/>
  <c r="N89" i="18"/>
</calcChain>
</file>

<file path=xl/sharedStrings.xml><?xml version="1.0" encoding="utf-8"?>
<sst xmlns="http://schemas.openxmlformats.org/spreadsheetml/2006/main" count="407" uniqueCount="114">
  <si>
    <t>Bitcoin USD Price</t>
  </si>
  <si>
    <t>Bitcoin USD Marketcap</t>
  </si>
  <si>
    <t>Bitcoin USD Price Start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</si>
  <si>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</si>
  <si>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</si>
  <si>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</si>
  <si>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</si>
  <si>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</si>
  <si>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</si>
  <si>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</si>
  <si>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</si>
  <si>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</si>
  <si>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</si>
  <si>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Remaining BTC Yield %</t>
  </si>
  <si>
    <t>Cumulative BTC Yield %</t>
  </si>
  <si>
    <t>Annual BTC Yield %</t>
  </si>
  <si>
    <t>Bitcoin Growth Yield (BiGY)</t>
  </si>
  <si>
    <t>Bitcoin Transaction Yield (BiTY)</t>
  </si>
  <si>
    <t>Total Yield</t>
  </si>
  <si>
    <t>Annual</t>
  </si>
  <si>
    <t>Bitcoin</t>
  </si>
  <si>
    <t>Test Case</t>
  </si>
  <si>
    <t>Annual Average</t>
  </si>
  <si>
    <t>Bitcoin Compound Annual Growth Rate Calculator</t>
  </si>
  <si>
    <t>Start Price</t>
  </si>
  <si>
    <t>Start Date</t>
  </si>
  <si>
    <t>End Price</t>
  </si>
  <si>
    <t>End Date</t>
  </si>
  <si>
    <t>Bitcoin Yield Estimate Variables</t>
  </si>
  <si>
    <t>Compound Annual Growth Rate</t>
  </si>
  <si>
    <t>Bitcoin Compound Annual Growth Rate (CAGR)</t>
  </si>
  <si>
    <t>Annual Average BTC Yield %</t>
  </si>
  <si>
    <t>USD %</t>
  </si>
  <si>
    <t>BTC %</t>
  </si>
  <si>
    <t>Stable Balancer BTC %</t>
  </si>
  <si>
    <t>Stable Provider BTC %</t>
  </si>
  <si>
    <t>Stable Receiver USD %</t>
  </si>
  <si>
    <t>Stable Receiver / Fiat Investor</t>
  </si>
  <si>
    <t>Stable Provider / Bitcoin Investor</t>
  </si>
  <si>
    <t>Stable Balancer / Lightning Bank</t>
  </si>
  <si>
    <t>Total BTC %</t>
  </si>
  <si>
    <t>BTC</t>
  </si>
  <si>
    <t>USD</t>
  </si>
  <si>
    <t>SR USD Comp.</t>
  </si>
  <si>
    <t>USD
Compounded</t>
  </si>
  <si>
    <t>USD
Simple</t>
  </si>
  <si>
    <t>SP BiGY BTC</t>
  </si>
  <si>
    <t>SP Total BTC</t>
  </si>
  <si>
    <t>SB BiGY BTC</t>
  </si>
  <si>
    <t>SB Total BTC</t>
  </si>
  <si>
    <t>Annual Avg. %</t>
  </si>
  <si>
    <t>Annual Avg.</t>
  </si>
  <si>
    <t>Cumulative</t>
  </si>
  <si>
    <t>Cumulative %</t>
  </si>
  <si>
    <t>Remaining %</t>
  </si>
  <si>
    <t>Annual %</t>
  </si>
  <si>
    <t>Annual Average %</t>
  </si>
  <si>
    <t>Test Case Annual</t>
  </si>
  <si>
    <t>Test Case Cumulative</t>
  </si>
  <si>
    <t>Test Case Annual Average</t>
  </si>
  <si>
    <t>Price</t>
  </si>
  <si>
    <t>Marketcap</t>
  </si>
  <si>
    <t>Unit of Account</t>
  </si>
  <si>
    <t>Measure</t>
  </si>
  <si>
    <t>Yield Estimate Calculator</t>
  </si>
  <si>
    <t>Bitcoin TVL</t>
  </si>
  <si>
    <t>BTC Measure</t>
  </si>
  <si>
    <t>BTC TVL</t>
  </si>
  <si>
    <t>Bitcoin Yield Estimate 10 Year Burndown Summary</t>
  </si>
  <si>
    <r>
      <t xml:space="preserve">Bitcoin Yield Estimate 5 Year Summary
</t>
    </r>
    <r>
      <rPr>
        <sz val="11"/>
        <rFont val="Aptos Display"/>
        <family val="2"/>
        <scheme val="major"/>
      </rPr>
      <t>Stable Receiver = SR
Stable Provider = SP
Stable Balancer = SB</t>
    </r>
  </si>
  <si>
    <r>
      <t xml:space="preserve">Lightning Bank 5 Year Revenue Summary
</t>
    </r>
    <r>
      <rPr>
        <sz val="11"/>
        <rFont val="Aptos Display"/>
        <family val="2"/>
        <scheme val="major"/>
      </rPr>
      <t>Total Value Locked = TVL</t>
    </r>
  </si>
  <si>
    <t>Bitcoin Loan Yield (BiLY)</t>
  </si>
  <si>
    <t>SB BiLY BTC</t>
  </si>
  <si>
    <t>SB BiTY BTC</t>
  </si>
  <si>
    <t>SP BiTY BTC</t>
  </si>
  <si>
    <r>
      <t xml:space="preserve">Bitcoin Yield Estimate Variables
</t>
    </r>
    <r>
      <rPr>
        <sz val="11"/>
        <rFont val="Aptos Display"/>
        <family val="2"/>
        <scheme val="major"/>
      </rPr>
      <t>Bitcoin Transaction Yield = BiTY
Bitcoin Growth Yield = BiGY
Bitcoin Loan Yield = BiLY</t>
    </r>
  </si>
  <si>
    <t>Annual BiTY %</t>
  </si>
  <si>
    <t>SP Loan BTC</t>
  </si>
  <si>
    <t>SP Annual Loan USD %</t>
  </si>
  <si>
    <t>SP Loan-to-Value %</t>
  </si>
  <si>
    <t>Bitcoin Lightning Bank
The Decentralized Strategy
Pairing Bitcoin Investors with Fiat Investors for Yield Extraction and Leveraged Lending</t>
  </si>
  <si>
    <t>Annual BiGY % (CAGR)</t>
  </si>
  <si>
    <t>Loan Boost Annual %</t>
  </si>
  <si>
    <t>Loan Boost Annual Avg. %</t>
  </si>
  <si>
    <t>Total Annual %</t>
  </si>
  <si>
    <t>Total Annual Average %</t>
  </si>
  <si>
    <t>Bitcoin Investor</t>
  </si>
  <si>
    <t>Fiat Investor</t>
  </si>
  <si>
    <t>Service Provider</t>
  </si>
  <si>
    <t>Bond/Pref-to-Value %</t>
  </si>
  <si>
    <t>Loan-to-Value %</t>
  </si>
  <si>
    <t>Premium 2X</t>
  </si>
  <si>
    <t>Standard 2X</t>
  </si>
  <si>
    <t>Stable Provider</t>
  </si>
  <si>
    <t>Stable Receiver</t>
  </si>
  <si>
    <t>High-Interest Debt</t>
  </si>
  <si>
    <t>Low-Interest Debt</t>
  </si>
  <si>
    <t>Service</t>
  </si>
  <si>
    <t>Bitcoin Lightning Mortgage</t>
  </si>
  <si>
    <t>BTC Principal %</t>
  </si>
  <si>
    <t>BTC Debt %</t>
  </si>
  <si>
    <t>Total Down Payment</t>
  </si>
  <si>
    <t>Total Debt</t>
  </si>
  <si>
    <t>BTC Total</t>
  </si>
  <si>
    <t>BTC Principal</t>
  </si>
  <si>
    <t>BTC Bond/Pref</t>
  </si>
  <si>
    <t>BTC Loan</t>
  </si>
  <si>
    <t>Debt-to-Value %</t>
  </si>
  <si>
    <t>Loan Interest %</t>
  </si>
  <si>
    <t>N/A</t>
  </si>
  <si>
    <t>Service Fee %</t>
  </si>
  <si>
    <t>Annual Comp. %</t>
  </si>
  <si>
    <t>Cumulative Comp. %</t>
  </si>
  <si>
    <t>Total Debt-to-Value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</si>
</sst>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##0.00,,&quot; M&quot;"/>
    <numFmt numFmtId="165" formatCode="&quot;$&quot;#,##0,&quot; K&quot;"/>
    <numFmt numFmtId="166" formatCode="&quot;$&quot;###0.00,,,,&quot; T&quot;"/>
    <numFmt numFmtId="167" formatCode="&quot;$&quot;#,##0.00"/>
    <numFmt numFmtId="168" formatCode="#,##0,&quot; K&quot;"/>
    <numFmt numFmtId="169" formatCode="###0.0,,&quot; M&quot;"/>
    <numFmt numFmtId="170" formatCode="&quot;$&quot;###0.00,,,&quot; B&quot;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color theme="0"/>
      <name val="Aptos Display"/>
      <family val="2"/>
      <scheme val="major"/>
    </font>
    <font>
      <sz val="1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b/>
      <sz val="11"/>
      <name val="Aptos Display"/>
      <family val="2"/>
      <scheme val="major"/>
    </font>
    <font>
      <sz val="12"/>
      <color theme="0"/>
      <name val="Aptos Display"/>
      <family val="2"/>
      <scheme val="major"/>
    </font>
    <font>
      <sz val="11"/>
      <color rgb="FF006100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sz val="18"/>
      <color theme="1"/>
      <name val="Aptos Display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5DAA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/>
      </left>
      <right style="thin">
        <color theme="0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/>
      </left>
      <right style="thin">
        <color theme="0"/>
      </right>
      <top/>
      <bottom style="thin">
        <color theme="1" tint="0.34998626667073579"/>
      </bottom>
      <diagonal/>
    </border>
    <border>
      <left style="thin">
        <color theme="0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1" tint="0.34998626667073579"/>
      </top>
      <bottom/>
      <diagonal/>
    </border>
    <border>
      <left style="thin">
        <color theme="0"/>
      </left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0"/>
      </right>
      <top style="thin">
        <color theme="1" tint="0.34998626667073579"/>
      </top>
      <bottom/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0"/>
      </right>
      <top/>
      <bottom style="thin">
        <color theme="1" tint="0.34998626667073579"/>
      </bottom>
      <diagonal/>
    </border>
  </borders>
  <cellStyleXfs count="2">
    <xf numFmtId="0" fontId="0" fillId="0" borderId="0"/>
    <xf numFmtId="0" fontId="7" fillId="11" borderId="0" applyNumberFormat="0" applyBorder="0" applyAlignment="0" applyProtection="0"/>
  </cellStyleXfs>
  <cellXfs count="169">
    <xf numFmtId="0" fontId="0" fillId="0" borderId="0" xfId="0"/>
    <xf numFmtId="0" fontId="1" fillId="0" borderId="4" xfId="0" applyFont="1" applyBorder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4" fillId="3" borderId="0" xfId="0" applyFont="1" applyFill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left" vertical="center" indent="1"/>
    </xf>
    <xf numFmtId="0" fontId="1" fillId="6" borderId="0" xfId="0" applyFont="1" applyFill="1" applyAlignment="1">
      <alignment horizontal="left" vertical="center" wrapText="1" indent="1"/>
    </xf>
    <xf numFmtId="10" fontId="4" fillId="6" borderId="6" xfId="0" applyNumberFormat="1" applyFont="1" applyFill="1" applyBorder="1" applyAlignment="1">
      <alignment horizontal="left" vertical="center" wrapText="1" indent="1"/>
    </xf>
    <xf numFmtId="10" fontId="4" fillId="6" borderId="5" xfId="0" applyNumberFormat="1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164" fontId="1" fillId="0" borderId="3" xfId="0" applyNumberFormat="1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center" indent="1"/>
    </xf>
    <xf numFmtId="10" fontId="1" fillId="0" borderId="0" xfId="0" applyNumberFormat="1" applyFont="1" applyAlignment="1">
      <alignment horizontal="left" vertical="center" indent="1"/>
    </xf>
    <xf numFmtId="164" fontId="1" fillId="0" borderId="0" xfId="0" applyNumberFormat="1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167" fontId="1" fillId="0" borderId="0" xfId="0" applyNumberFormat="1" applyFont="1" applyAlignment="1">
      <alignment horizontal="left" vertical="center" indent="1"/>
    </xf>
    <xf numFmtId="0" fontId="5" fillId="5" borderId="10" xfId="0" applyFont="1" applyFill="1" applyBorder="1" applyAlignment="1">
      <alignment horizontal="left" vertical="center" indent="1"/>
    </xf>
    <xf numFmtId="10" fontId="5" fillId="5" borderId="10" xfId="0" applyNumberFormat="1" applyFont="1" applyFill="1" applyBorder="1" applyAlignment="1">
      <alignment horizontal="left" vertical="center" indent="1"/>
    </xf>
    <xf numFmtId="10" fontId="4" fillId="5" borderId="10" xfId="0" applyNumberFormat="1" applyFont="1" applyFill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0" fontId="3" fillId="0" borderId="12" xfId="0" applyFont="1" applyBorder="1" applyAlignment="1">
      <alignment horizontal="left" vertical="center" indent="1"/>
    </xf>
    <xf numFmtId="4" fontId="1" fillId="0" borderId="12" xfId="0" applyNumberFormat="1" applyFont="1" applyBorder="1" applyAlignment="1">
      <alignment horizontal="left" vertical="center" indent="1"/>
    </xf>
    <xf numFmtId="164" fontId="1" fillId="0" borderId="12" xfId="0" applyNumberFormat="1" applyFont="1" applyBorder="1" applyAlignment="1">
      <alignment horizontal="left" vertical="center" indent="1"/>
    </xf>
    <xf numFmtId="164" fontId="1" fillId="6" borderId="12" xfId="0" applyNumberFormat="1" applyFont="1" applyFill="1" applyBorder="1" applyAlignment="1">
      <alignment horizontal="left" vertical="center" indent="1"/>
    </xf>
    <xf numFmtId="165" fontId="1" fillId="6" borderId="12" xfId="0" applyNumberFormat="1" applyFont="1" applyFill="1" applyBorder="1" applyAlignment="1">
      <alignment horizontal="left" vertical="center" indent="1"/>
    </xf>
    <xf numFmtId="165" fontId="1" fillId="0" borderId="12" xfId="0" applyNumberFormat="1" applyFont="1" applyBorder="1" applyAlignment="1">
      <alignment horizontal="left" vertical="center" indent="1"/>
    </xf>
    <xf numFmtId="166" fontId="1" fillId="0" borderId="12" xfId="0" applyNumberFormat="1" applyFont="1" applyBorder="1" applyAlignment="1">
      <alignment horizontal="left" vertical="center" indent="1"/>
    </xf>
    <xf numFmtId="10" fontId="3" fillId="0" borderId="12" xfId="0" applyNumberFormat="1" applyFont="1" applyBorder="1" applyAlignment="1">
      <alignment horizontal="left" vertical="center" indent="1"/>
    </xf>
    <xf numFmtId="3" fontId="1" fillId="0" borderId="12" xfId="0" applyNumberFormat="1" applyFont="1" applyBorder="1" applyAlignment="1">
      <alignment horizontal="left" vertical="center" indent="1"/>
    </xf>
    <xf numFmtId="3" fontId="4" fillId="8" borderId="12" xfId="0" applyNumberFormat="1" applyFont="1" applyFill="1" applyBorder="1" applyAlignment="1">
      <alignment horizontal="left" vertical="center" indent="1"/>
    </xf>
    <xf numFmtId="3" fontId="4" fillId="5" borderId="10" xfId="0" applyNumberFormat="1" applyFont="1" applyFill="1" applyBorder="1" applyAlignment="1">
      <alignment horizontal="left" vertical="center" indent="1"/>
    </xf>
    <xf numFmtId="3" fontId="4" fillId="8" borderId="10" xfId="0" applyNumberFormat="1" applyFont="1" applyFill="1" applyBorder="1" applyAlignment="1">
      <alignment horizontal="left" vertical="center" indent="1"/>
    </xf>
    <xf numFmtId="0" fontId="4" fillId="7" borderId="11" xfId="0" applyFont="1" applyFill="1" applyBorder="1" applyAlignment="1">
      <alignment horizontal="left" vertical="center" wrapText="1" indent="1"/>
    </xf>
    <xf numFmtId="0" fontId="4" fillId="4" borderId="11" xfId="0" applyFont="1" applyFill="1" applyBorder="1" applyAlignment="1">
      <alignment horizontal="left" vertical="center" wrapText="1" indent="1"/>
    </xf>
    <xf numFmtId="0" fontId="4" fillId="3" borderId="11" xfId="0" applyFont="1" applyFill="1" applyBorder="1" applyAlignment="1">
      <alignment horizontal="left" vertical="center" wrapText="1" indent="1"/>
    </xf>
    <xf numFmtId="10" fontId="4" fillId="0" borderId="3" xfId="0" applyNumberFormat="1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wrapText="1" indent="1"/>
    </xf>
    <xf numFmtId="164" fontId="4" fillId="4" borderId="10" xfId="0" applyNumberFormat="1" applyFont="1" applyFill="1" applyBorder="1" applyAlignment="1">
      <alignment horizontal="left" vertical="center" wrapText="1" indent="1"/>
    </xf>
    <xf numFmtId="10" fontId="4" fillId="4" borderId="10" xfId="0" applyNumberFormat="1" applyFont="1" applyFill="1" applyBorder="1" applyAlignment="1">
      <alignment horizontal="left" vertical="center" wrapText="1" indent="1"/>
    </xf>
    <xf numFmtId="10" fontId="4" fillId="4" borderId="10" xfId="0" applyNumberFormat="1" applyFont="1" applyFill="1" applyBorder="1" applyAlignment="1">
      <alignment horizontal="left" vertical="center" indent="1"/>
    </xf>
    <xf numFmtId="10" fontId="5" fillId="4" borderId="10" xfId="0" applyNumberFormat="1" applyFont="1" applyFill="1" applyBorder="1" applyAlignment="1">
      <alignment horizontal="left" vertical="center" wrapText="1" indent="1"/>
    </xf>
    <xf numFmtId="10" fontId="5" fillId="6" borderId="10" xfId="0" applyNumberFormat="1" applyFont="1" applyFill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indent="1"/>
    </xf>
    <xf numFmtId="10" fontId="4" fillId="8" borderId="10" xfId="0" applyNumberFormat="1" applyFont="1" applyFill="1" applyBorder="1" applyAlignment="1">
      <alignment horizontal="left" vertical="center" indent="1"/>
    </xf>
    <xf numFmtId="10" fontId="4" fillId="7" borderId="11" xfId="0" applyNumberFormat="1" applyFont="1" applyFill="1" applyBorder="1" applyAlignment="1">
      <alignment horizontal="left" vertical="center" indent="1"/>
    </xf>
    <xf numFmtId="10" fontId="4" fillId="4" borderId="11" xfId="0" applyNumberFormat="1" applyFont="1" applyFill="1" applyBorder="1" applyAlignment="1">
      <alignment horizontal="left" vertical="center" indent="1"/>
    </xf>
    <xf numFmtId="10" fontId="4" fillId="3" borderId="11" xfId="0" applyNumberFormat="1" applyFont="1" applyFill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 indent="1"/>
    </xf>
    <xf numFmtId="10" fontId="4" fillId="8" borderId="11" xfId="0" applyNumberFormat="1" applyFont="1" applyFill="1" applyBorder="1" applyAlignment="1">
      <alignment horizontal="left" vertical="center" wrapText="1" indent="1"/>
    </xf>
    <xf numFmtId="10" fontId="4" fillId="8" borderId="20" xfId="0" applyNumberFormat="1" applyFont="1" applyFill="1" applyBorder="1" applyAlignment="1">
      <alignment horizontal="left" vertical="center" wrapText="1" indent="1"/>
    </xf>
    <xf numFmtId="3" fontId="4" fillId="8" borderId="10" xfId="0" applyNumberFormat="1" applyFont="1" applyFill="1" applyBorder="1" applyAlignment="1">
      <alignment horizontal="left" vertical="center" wrapText="1" indent="1"/>
    </xf>
    <xf numFmtId="3" fontId="4" fillId="8" borderId="11" xfId="0" applyNumberFormat="1" applyFont="1" applyFill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indent="1"/>
    </xf>
    <xf numFmtId="0" fontId="4" fillId="7" borderId="0" xfId="0" applyFont="1" applyFill="1" applyAlignment="1">
      <alignment horizontal="left" vertical="center" indent="1"/>
    </xf>
    <xf numFmtId="10" fontId="5" fillId="7" borderId="0" xfId="0" applyNumberFormat="1" applyFont="1" applyFill="1" applyAlignment="1">
      <alignment horizontal="left" vertical="center" indent="1"/>
    </xf>
    <xf numFmtId="0" fontId="4" fillId="4" borderId="0" xfId="0" applyFont="1" applyFill="1" applyAlignment="1">
      <alignment horizontal="left" vertical="center" indent="1"/>
    </xf>
    <xf numFmtId="10" fontId="5" fillId="4" borderId="0" xfId="0" applyNumberFormat="1" applyFont="1" applyFill="1" applyAlignment="1">
      <alignment horizontal="left" vertical="center" indent="1"/>
    </xf>
    <xf numFmtId="10" fontId="5" fillId="3" borderId="0" xfId="0" applyNumberFormat="1" applyFont="1" applyFill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1" fillId="0" borderId="12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left" vertical="center" indent="1"/>
    </xf>
    <xf numFmtId="164" fontId="1" fillId="0" borderId="22" xfId="0" applyNumberFormat="1" applyFont="1" applyBorder="1" applyAlignment="1">
      <alignment horizontal="left" vertical="center" indent="1"/>
    </xf>
    <xf numFmtId="164" fontId="1" fillId="0" borderId="23" xfId="0" applyNumberFormat="1" applyFont="1" applyBorder="1" applyAlignment="1">
      <alignment horizontal="left" vertical="center" indent="1"/>
    </xf>
    <xf numFmtId="166" fontId="1" fillId="0" borderId="22" xfId="0" applyNumberFormat="1" applyFont="1" applyBorder="1" applyAlignment="1">
      <alignment horizontal="left" vertical="center" indent="1"/>
    </xf>
    <xf numFmtId="166" fontId="1" fillId="0" borderId="23" xfId="0" applyNumberFormat="1" applyFont="1" applyBorder="1" applyAlignment="1">
      <alignment horizontal="left" vertical="center" indent="1"/>
    </xf>
    <xf numFmtId="10" fontId="5" fillId="5" borderId="21" xfId="0" applyNumberFormat="1" applyFont="1" applyFill="1" applyBorder="1" applyAlignment="1">
      <alignment horizontal="left" vertical="center" indent="1"/>
    </xf>
    <xf numFmtId="10" fontId="5" fillId="8" borderId="21" xfId="0" applyNumberFormat="1" applyFont="1" applyFill="1" applyBorder="1" applyAlignment="1">
      <alignment horizontal="left" vertical="center" indent="1"/>
    </xf>
    <xf numFmtId="10" fontId="1" fillId="0" borderId="22" xfId="0" applyNumberFormat="1" applyFont="1" applyBorder="1" applyAlignment="1">
      <alignment horizontal="left" vertical="center" indent="1"/>
    </xf>
    <xf numFmtId="10" fontId="1" fillId="0" borderId="23" xfId="0" applyNumberFormat="1" applyFont="1" applyBorder="1" applyAlignment="1">
      <alignment horizontal="left" vertical="center" indent="1"/>
    </xf>
    <xf numFmtId="10" fontId="3" fillId="0" borderId="23" xfId="0" applyNumberFormat="1" applyFont="1" applyBorder="1" applyAlignment="1">
      <alignment horizontal="left" vertical="center" indent="1"/>
    </xf>
    <xf numFmtId="0" fontId="3" fillId="0" borderId="23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5" fillId="5" borderId="25" xfId="0" applyFont="1" applyFill="1" applyBorder="1" applyAlignment="1">
      <alignment horizontal="left" vertical="center" indent="1"/>
    </xf>
    <xf numFmtId="0" fontId="3" fillId="0" borderId="12" xfId="0" applyFont="1" applyBorder="1" applyAlignment="1">
      <alignment horizontal="left" vertical="center" wrapText="1" indent="1"/>
    </xf>
    <xf numFmtId="10" fontId="4" fillId="7" borderId="12" xfId="0" applyNumberFormat="1" applyFont="1" applyFill="1" applyBorder="1" applyAlignment="1">
      <alignment vertical="center" wrapText="1"/>
    </xf>
    <xf numFmtId="10" fontId="4" fillId="6" borderId="12" xfId="0" applyNumberFormat="1" applyFont="1" applyFill="1" applyBorder="1" applyAlignment="1">
      <alignment horizontal="left" vertical="center" wrapText="1" indent="1"/>
    </xf>
    <xf numFmtId="10" fontId="4" fillId="6" borderId="0" xfId="0" applyNumberFormat="1" applyFont="1" applyFill="1" applyAlignment="1">
      <alignment horizontal="left" vertical="center" wrapText="1" indent="1"/>
    </xf>
    <xf numFmtId="0" fontId="1" fillId="0" borderId="27" xfId="0" applyFont="1" applyBorder="1" applyAlignment="1">
      <alignment horizontal="left" vertical="center" indent="1"/>
    </xf>
    <xf numFmtId="0" fontId="4" fillId="10" borderId="11" xfId="0" applyFont="1" applyFill="1" applyBorder="1" applyAlignment="1">
      <alignment horizontal="left" vertical="center" indent="1"/>
    </xf>
    <xf numFmtId="170" fontId="8" fillId="11" borderId="11" xfId="1" applyNumberFormat="1" applyFont="1" applyBorder="1" applyAlignment="1">
      <alignment horizontal="left" vertical="center" wrapText="1" indent="1"/>
    </xf>
    <xf numFmtId="0" fontId="3" fillId="0" borderId="13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wrapText="1" indent="1"/>
    </xf>
    <xf numFmtId="168" fontId="3" fillId="0" borderId="12" xfId="0" applyNumberFormat="1" applyFont="1" applyBorder="1" applyAlignment="1">
      <alignment horizontal="left" vertical="center" wrapText="1" indent="1"/>
    </xf>
    <xf numFmtId="0" fontId="3" fillId="0" borderId="13" xfId="0" applyFont="1" applyBorder="1" applyAlignment="1">
      <alignment horizontal="left" vertical="center" wrapText="1" indent="1"/>
    </xf>
    <xf numFmtId="167" fontId="4" fillId="4" borderId="12" xfId="0" applyNumberFormat="1" applyFont="1" applyFill="1" applyBorder="1" applyAlignment="1">
      <alignment horizontal="left" vertical="center" indent="1"/>
    </xf>
    <xf numFmtId="14" fontId="4" fillId="4" borderId="12" xfId="0" applyNumberFormat="1" applyFont="1" applyFill="1" applyBorder="1" applyAlignment="1">
      <alignment horizontal="left" vertical="center" wrapText="1" indent="1"/>
    </xf>
    <xf numFmtId="10" fontId="4" fillId="10" borderId="9" xfId="0" applyNumberFormat="1" applyFont="1" applyFill="1" applyBorder="1" applyAlignment="1">
      <alignment horizontal="left" vertical="center" indent="1"/>
    </xf>
    <xf numFmtId="10" fontId="4" fillId="10" borderId="0" xfId="0" applyNumberFormat="1" applyFont="1" applyFill="1" applyAlignment="1">
      <alignment vertical="center"/>
    </xf>
    <xf numFmtId="169" fontId="3" fillId="0" borderId="4" xfId="0" applyNumberFormat="1" applyFont="1" applyBorder="1" applyAlignment="1">
      <alignment horizontal="left" vertical="center" wrapText="1" indent="1"/>
    </xf>
    <xf numFmtId="0" fontId="3" fillId="0" borderId="9" xfId="0" applyFont="1" applyBorder="1" applyAlignment="1">
      <alignment horizontal="left" vertical="center" indent="1"/>
    </xf>
    <xf numFmtId="0" fontId="5" fillId="0" borderId="15" xfId="0" applyFont="1" applyBorder="1" applyAlignment="1">
      <alignment horizontal="left" vertical="center" wrapText="1" indent="1"/>
    </xf>
    <xf numFmtId="0" fontId="5" fillId="0" borderId="13" xfId="0" applyFont="1" applyBorder="1" applyAlignment="1">
      <alignment horizontal="left" vertical="center" indent="1"/>
    </xf>
    <xf numFmtId="0" fontId="5" fillId="0" borderId="12" xfId="0" applyFont="1" applyBorder="1" applyAlignment="1">
      <alignment horizontal="left" vertical="center" indent="1"/>
    </xf>
    <xf numFmtId="169" fontId="5" fillId="0" borderId="12" xfId="0" applyNumberFormat="1" applyFont="1" applyBorder="1" applyAlignment="1">
      <alignment horizontal="left" vertical="center" wrapText="1" indent="1"/>
    </xf>
    <xf numFmtId="0" fontId="5" fillId="0" borderId="13" xfId="0" applyFont="1" applyBorder="1" applyAlignment="1">
      <alignment horizontal="left" vertical="center" wrapText="1" indent="1"/>
    </xf>
    <xf numFmtId="0" fontId="5" fillId="0" borderId="17" xfId="0" applyFont="1" applyBorder="1" applyAlignment="1">
      <alignment horizontal="left" vertical="center" indent="1"/>
    </xf>
    <xf numFmtId="10" fontId="1" fillId="0" borderId="12" xfId="0" applyNumberFormat="1" applyFont="1" applyBorder="1" applyAlignment="1">
      <alignment horizontal="left" vertical="center" indent="1"/>
    </xf>
    <xf numFmtId="3" fontId="4" fillId="5" borderId="12" xfId="0" applyNumberFormat="1" applyFont="1" applyFill="1" applyBorder="1" applyAlignment="1">
      <alignment horizontal="left" vertical="center" indent="1"/>
    </xf>
    <xf numFmtId="10" fontId="4" fillId="12" borderId="11" xfId="0" applyNumberFormat="1" applyFont="1" applyFill="1" applyBorder="1" applyAlignment="1">
      <alignment horizontal="left" vertical="center" wrapText="1" indent="1"/>
    </xf>
    <xf numFmtId="10" fontId="4" fillId="12" borderId="20" xfId="0" applyNumberFormat="1" applyFont="1" applyFill="1" applyBorder="1" applyAlignment="1">
      <alignment horizontal="left" vertical="center" wrapText="1" indent="1"/>
    </xf>
    <xf numFmtId="10" fontId="4" fillId="12" borderId="10" xfId="0" applyNumberFormat="1" applyFont="1" applyFill="1" applyBorder="1" applyAlignment="1">
      <alignment horizontal="left" vertical="center" indent="1"/>
    </xf>
    <xf numFmtId="0" fontId="4" fillId="5" borderId="25" xfId="0" applyFont="1" applyFill="1" applyBorder="1" applyAlignment="1">
      <alignment horizontal="left" vertical="center" indent="1"/>
    </xf>
    <xf numFmtId="0" fontId="4" fillId="5" borderId="21" xfId="0" applyFont="1" applyFill="1" applyBorder="1" applyAlignment="1">
      <alignment horizontal="left" vertical="center" indent="1"/>
    </xf>
    <xf numFmtId="10" fontId="4" fillId="5" borderId="21" xfId="0" applyNumberFormat="1" applyFont="1" applyFill="1" applyBorder="1" applyAlignment="1">
      <alignment horizontal="left" vertical="center" indent="1"/>
    </xf>
    <xf numFmtId="10" fontId="4" fillId="5" borderId="22" xfId="0" applyNumberFormat="1" applyFont="1" applyFill="1" applyBorder="1" applyAlignment="1">
      <alignment horizontal="left" vertical="center" indent="1"/>
    </xf>
    <xf numFmtId="0" fontId="1" fillId="0" borderId="23" xfId="0" applyFont="1" applyBorder="1" applyAlignment="1">
      <alignment horizontal="left" vertical="center" indent="1"/>
    </xf>
    <xf numFmtId="10" fontId="1" fillId="0" borderId="3" xfId="0" applyNumberFormat="1" applyFont="1" applyBorder="1" applyAlignment="1">
      <alignment horizontal="left" vertical="center" indent="1"/>
    </xf>
    <xf numFmtId="0" fontId="4" fillId="13" borderId="25" xfId="0" applyFont="1" applyFill="1" applyBorder="1" applyAlignment="1">
      <alignment horizontal="left" vertical="center" indent="1"/>
    </xf>
    <xf numFmtId="0" fontId="4" fillId="13" borderId="21" xfId="0" applyFont="1" applyFill="1" applyBorder="1" applyAlignment="1">
      <alignment horizontal="left" vertical="center" indent="1"/>
    </xf>
    <xf numFmtId="0" fontId="4" fillId="13" borderId="22" xfId="0" applyFont="1" applyFill="1" applyBorder="1" applyAlignment="1">
      <alignment horizontal="left" vertical="center" indent="1"/>
    </xf>
    <xf numFmtId="0" fontId="1" fillId="0" borderId="25" xfId="0" applyFont="1" applyBorder="1" applyAlignment="1">
      <alignment horizontal="left" vertical="center" indent="1"/>
    </xf>
    <xf numFmtId="0" fontId="1" fillId="0" borderId="21" xfId="0" applyFont="1" applyBorder="1" applyAlignment="1">
      <alignment horizontal="left" vertical="center" indent="1"/>
    </xf>
    <xf numFmtId="10" fontId="1" fillId="0" borderId="21" xfId="0" applyNumberFormat="1" applyFont="1" applyBorder="1" applyAlignment="1">
      <alignment horizontal="left" vertical="center" indent="1"/>
    </xf>
    <xf numFmtId="0" fontId="4" fillId="10" borderId="30" xfId="0" applyFont="1" applyFill="1" applyBorder="1" applyAlignment="1">
      <alignment horizontal="left" vertical="center" indent="1"/>
    </xf>
    <xf numFmtId="0" fontId="4" fillId="4" borderId="30" xfId="0" applyFont="1" applyFill="1" applyBorder="1" applyAlignment="1">
      <alignment horizontal="left" vertical="center" indent="1"/>
    </xf>
    <xf numFmtId="0" fontId="4" fillId="7" borderId="30" xfId="0" applyFont="1" applyFill="1" applyBorder="1" applyAlignment="1">
      <alignment horizontal="left" vertical="center" indent="1"/>
    </xf>
    <xf numFmtId="0" fontId="4" fillId="4" borderId="31" xfId="0" applyFont="1" applyFill="1" applyBorder="1" applyAlignment="1">
      <alignment horizontal="left" vertical="center" indent="1"/>
    </xf>
    <xf numFmtId="0" fontId="4" fillId="10" borderId="32" xfId="0" applyFont="1" applyFill="1" applyBorder="1" applyAlignment="1">
      <alignment horizontal="left" vertical="center" indent="1"/>
    </xf>
    <xf numFmtId="0" fontId="4" fillId="4" borderId="32" xfId="0" applyFont="1" applyFill="1" applyBorder="1" applyAlignment="1">
      <alignment horizontal="left" vertical="center" indent="1"/>
    </xf>
    <xf numFmtId="0" fontId="4" fillId="7" borderId="32" xfId="0" applyFont="1" applyFill="1" applyBorder="1" applyAlignment="1">
      <alignment horizontal="left" vertical="center" indent="1"/>
    </xf>
    <xf numFmtId="0" fontId="4" fillId="4" borderId="33" xfId="0" applyFont="1" applyFill="1" applyBorder="1" applyAlignment="1">
      <alignment horizontal="left" vertical="center" indent="1"/>
    </xf>
    <xf numFmtId="0" fontId="6" fillId="2" borderId="19" xfId="0" applyFont="1" applyFill="1" applyBorder="1" applyAlignment="1">
      <alignment horizontal="left" vertical="center" wrapText="1" indent="1"/>
    </xf>
    <xf numFmtId="0" fontId="6" fillId="2" borderId="18" xfId="0" applyFont="1" applyFill="1" applyBorder="1" applyAlignment="1">
      <alignment horizontal="left" vertical="center" wrapText="1" indent="1"/>
    </xf>
    <xf numFmtId="0" fontId="6" fillId="2" borderId="9" xfId="0" applyFont="1" applyFill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6" fillId="2" borderId="26" xfId="0" applyFont="1" applyFill="1" applyBorder="1" applyAlignment="1">
      <alignment horizontal="left" vertical="center" wrapText="1" indent="1"/>
    </xf>
    <xf numFmtId="0" fontId="6" fillId="2" borderId="6" xfId="0" applyFont="1" applyFill="1" applyBorder="1" applyAlignment="1">
      <alignment horizontal="left" vertical="center" wrapText="1" indent="1"/>
    </xf>
    <xf numFmtId="0" fontId="5" fillId="10" borderId="18" xfId="0" applyFont="1" applyFill="1" applyBorder="1" applyAlignment="1">
      <alignment horizontal="left" vertical="center" wrapText="1" indent="1"/>
    </xf>
    <xf numFmtId="0" fontId="5" fillId="10" borderId="7" xfId="0" applyFont="1" applyFill="1" applyBorder="1" applyAlignment="1">
      <alignment horizontal="left" vertical="center" indent="1"/>
    </xf>
    <xf numFmtId="0" fontId="5" fillId="10" borderId="11" xfId="0" applyFont="1" applyFill="1" applyBorder="1" applyAlignment="1">
      <alignment horizontal="left" vertical="center" indent="1"/>
    </xf>
    <xf numFmtId="0" fontId="5" fillId="10" borderId="20" xfId="0" applyFont="1" applyFill="1" applyBorder="1" applyAlignment="1">
      <alignment horizontal="left" vertical="center" indent="1"/>
    </xf>
    <xf numFmtId="0" fontId="5" fillId="10" borderId="19" xfId="0" applyFont="1" applyFill="1" applyBorder="1" applyAlignment="1">
      <alignment horizontal="left" vertical="center" wrapText="1" indent="1"/>
    </xf>
    <xf numFmtId="0" fontId="5" fillId="10" borderId="17" xfId="0" applyFont="1" applyFill="1" applyBorder="1" applyAlignment="1">
      <alignment horizontal="left" vertical="center" wrapText="1" indent="1"/>
    </xf>
    <xf numFmtId="0" fontId="5" fillId="10" borderId="11" xfId="0" applyFont="1" applyFill="1" applyBorder="1" applyAlignment="1">
      <alignment horizontal="left" vertical="center" wrapText="1" indent="1"/>
    </xf>
    <xf numFmtId="0" fontId="5" fillId="10" borderId="0" xfId="0" applyFont="1" applyFill="1" applyAlignment="1">
      <alignment horizontal="left" vertical="center" wrapText="1" indent="1"/>
    </xf>
    <xf numFmtId="0" fontId="5" fillId="10" borderId="18" xfId="0" applyFont="1" applyFill="1" applyBorder="1" applyAlignment="1">
      <alignment horizontal="left" vertical="center" indent="1"/>
    </xf>
    <xf numFmtId="0" fontId="4" fillId="9" borderId="18" xfId="0" applyFont="1" applyFill="1" applyBorder="1" applyAlignment="1">
      <alignment horizontal="left" vertical="center" indent="1"/>
    </xf>
    <xf numFmtId="0" fontId="4" fillId="9" borderId="11" xfId="0" applyFont="1" applyFill="1" applyBorder="1" applyAlignment="1">
      <alignment horizontal="left" vertical="center" indent="1"/>
    </xf>
    <xf numFmtId="0" fontId="1" fillId="0" borderId="14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left" vertical="center" indent="1"/>
    </xf>
    <xf numFmtId="0" fontId="1" fillId="0" borderId="15" xfId="0" applyFont="1" applyBorder="1" applyAlignment="1">
      <alignment horizontal="left" vertical="center" indent="1"/>
    </xf>
    <xf numFmtId="0" fontId="1" fillId="0" borderId="16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0" fontId="1" fillId="0" borderId="17" xfId="0" applyFont="1" applyBorder="1" applyAlignment="1">
      <alignment horizontal="left" vertical="center" indent="1"/>
    </xf>
    <xf numFmtId="0" fontId="1" fillId="0" borderId="13" xfId="0" applyFont="1" applyBorder="1" applyAlignment="1">
      <alignment horizontal="left" vertical="center" indent="1"/>
    </xf>
    <xf numFmtId="0" fontId="1" fillId="0" borderId="12" xfId="0" applyFont="1" applyBorder="1" applyAlignment="1">
      <alignment horizontal="left" vertical="center" indent="1"/>
    </xf>
    <xf numFmtId="0" fontId="1" fillId="0" borderId="13" xfId="0" applyFont="1" applyBorder="1" applyAlignment="1">
      <alignment horizontal="left" vertical="center" wrapText="1" indent="1"/>
    </xf>
    <xf numFmtId="0" fontId="4" fillId="7" borderId="18" xfId="0" applyFont="1" applyFill="1" applyBorder="1" applyAlignment="1">
      <alignment horizontal="left" vertical="center" indent="1"/>
    </xf>
    <xf numFmtId="0" fontId="4" fillId="7" borderId="11" xfId="0" applyFont="1" applyFill="1" applyBorder="1" applyAlignment="1">
      <alignment horizontal="left" vertical="center" indent="1"/>
    </xf>
    <xf numFmtId="0" fontId="4" fillId="4" borderId="18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3" borderId="18" xfId="0" applyFont="1" applyFill="1" applyBorder="1" applyAlignment="1">
      <alignment horizontal="left" vertical="center" indent="1"/>
    </xf>
    <xf numFmtId="0" fontId="4" fillId="3" borderId="11" xfId="0" applyFont="1" applyFill="1" applyBorder="1" applyAlignment="1">
      <alignment horizontal="left" vertical="center" indent="1"/>
    </xf>
    <xf numFmtId="0" fontId="4" fillId="3" borderId="0" xfId="0" applyFont="1" applyFill="1" applyAlignment="1">
      <alignment horizontal="left" vertical="center" wrapText="1" indent="1"/>
    </xf>
    <xf numFmtId="0" fontId="4" fillId="3" borderId="11" xfId="0" applyFont="1" applyFill="1" applyBorder="1" applyAlignment="1">
      <alignment horizontal="left" vertical="center" wrapText="1" indent="1"/>
    </xf>
    <xf numFmtId="168" fontId="1" fillId="0" borderId="15" xfId="0" applyNumberFormat="1" applyFont="1" applyBorder="1" applyAlignment="1">
      <alignment horizontal="left" vertical="center" indent="1"/>
    </xf>
    <xf numFmtId="168" fontId="1" fillId="0" borderId="12" xfId="0" applyNumberFormat="1" applyFont="1" applyBorder="1" applyAlignment="1">
      <alignment horizontal="left" vertical="center" indent="1"/>
    </xf>
    <xf numFmtId="169" fontId="4" fillId="5" borderId="10" xfId="0" applyNumberFormat="1" applyFont="1" applyFill="1" applyBorder="1" applyAlignment="1">
      <alignment horizontal="left" vertical="center" indent="1"/>
    </xf>
    <xf numFmtId="0" fontId="4" fillId="10" borderId="30" xfId="0" applyFont="1" applyFill="1" applyBorder="1" applyAlignment="1">
      <alignment horizontal="left" vertical="center" indent="1"/>
    </xf>
    <xf numFmtId="0" fontId="4" fillId="10" borderId="32" xfId="0" applyFont="1" applyFill="1" applyBorder="1" applyAlignment="1">
      <alignment horizontal="left" vertical="center" indent="1"/>
    </xf>
    <xf numFmtId="0" fontId="4" fillId="10" borderId="28" xfId="0" applyFont="1" applyFill="1" applyBorder="1" applyAlignment="1">
      <alignment horizontal="left" vertical="center" indent="1"/>
    </xf>
    <xf numFmtId="0" fontId="4" fillId="10" borderId="29" xfId="0" applyFont="1" applyFill="1" applyBorder="1" applyAlignment="1">
      <alignment horizontal="left" vertical="center" indent="1"/>
    </xf>
    <xf numFmtId="0" fontId="5" fillId="10" borderId="0" xfId="0" applyFont="1" applyFill="1" applyAlignment="1">
      <alignment horizontal="left" vertical="center" indent="1"/>
    </xf>
    <xf numFmtId="9" fontId="9" fillId="0" borderId="4" xfId="0" applyNumberFormat="1" applyFont="1" applyBorder="1" applyAlignment="1">
      <alignment horizontal="center" vertical="center"/>
    </xf>
    <xf numFmtId="9" fontId="9" fillId="0" borderId="24" xfId="0" applyNumberFormat="1" applyFont="1" applyBorder="1" applyAlignment="1">
      <alignment horizontal="center" vertical="center"/>
    </xf>
    <xf numFmtId="9" fontId="9" fillId="0" borderId="14" xfId="0" applyNumberFormat="1" applyFont="1" applyBorder="1" applyAlignment="1">
      <alignment horizontal="center" vertical="center"/>
    </xf>
    <xf numFmtId="9" fontId="9" fillId="0" borderId="15" xfId="0" applyNumberFormat="1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DAA9"/>
      <color rgb="FFFFE4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2518-B1E3-498F-8277-B5D0DA9C220D}">
  <dimension ref="A1:R204"/>
  <sheetViews>
    <sheetView tabSelected="1" topLeftCell="B2" zoomScaleNormal="100" workbookViewId="0">
      <selection activeCell="B2" sqref="B2:C12"/>
    </sheetView>
  </sheetViews>
  <sheetFormatPr defaultRowHeight="15" customHeight="1" x14ac:dyDescent="0.45"/>
  <cols>
    <col min="1" max="1" width="1.73046875" style="5" customWidth="1"/>
    <col min="2" max="2" width="29.19921875" style="2" bestFit="1" customWidth="1"/>
    <col min="3" max="3" width="15.06640625" style="2" bestFit="1" customWidth="1"/>
    <col min="4" max="4" width="22.265625" style="2" bestFit="1" customWidth="1"/>
    <col min="5" max="14" width="13.6640625" style="2" customWidth="1"/>
    <col min="15" max="15" width="1.73046875" style="5" customWidth="1"/>
    <col min="16" max="16" width="14.46484375" style="2" customWidth="1"/>
    <col min="17" max="17" width="1.53125" style="2" customWidth="1"/>
    <col min="18" max="18" width="14.86328125" style="2" bestFit="1" customWidth="1"/>
    <col min="19" max="19" width="9.06640625" style="2" customWidth="1"/>
    <col min="20" max="16384" width="9.06640625" style="2"/>
  </cols>
  <sheetData>
    <row r="1" spans="1:15" ht="15" customHeight="1" x14ac:dyDescent="0.45">
      <c r="A1" s="9"/>
      <c r="B1" s="9"/>
      <c r="C1" s="9"/>
      <c r="D1" s="9"/>
      <c r="E1" s="9"/>
      <c r="F1" s="9"/>
      <c r="G1" s="9"/>
      <c r="H1" s="9"/>
      <c r="I1" s="9"/>
      <c r="J1" s="9"/>
      <c r="K1" s="78"/>
      <c r="L1" s="78"/>
      <c r="M1" s="78"/>
      <c r="N1" s="78"/>
    </row>
    <row r="2" spans="1:15" ht="60" customHeight="1" x14ac:dyDescent="0.45">
      <c r="A2" s="9"/>
      <c r="B2" s="123" t="s">
        <v>80</v>
      </c>
      <c r="C2" s="124"/>
      <c r="D2" s="129" t="s">
        <v>75</v>
      </c>
      <c r="E2" s="130"/>
      <c r="F2" s="9"/>
      <c r="G2" s="133" t="s">
        <v>69</v>
      </c>
      <c r="H2" s="129"/>
      <c r="I2" s="129"/>
      <c r="J2" s="5"/>
      <c r="K2" s="136" t="s">
        <v>70</v>
      </c>
      <c r="L2" s="136"/>
      <c r="M2" s="136"/>
      <c r="N2" s="136"/>
    </row>
    <row r="3" spans="1:15" ht="15" customHeight="1" x14ac:dyDescent="0.45">
      <c r="A3" s="9"/>
      <c r="B3" s="125"/>
      <c r="C3" s="126"/>
      <c r="D3" s="131"/>
      <c r="E3" s="132"/>
      <c r="F3" s="9"/>
      <c r="G3" s="134"/>
      <c r="H3" s="135"/>
      <c r="I3" s="135"/>
      <c r="J3" s="5"/>
      <c r="K3" s="79" t="s">
        <v>65</v>
      </c>
      <c r="L3" s="79" t="s">
        <v>63</v>
      </c>
      <c r="M3" s="79" t="s">
        <v>41</v>
      </c>
      <c r="N3" s="79" t="s">
        <v>42</v>
      </c>
      <c r="O3" s="10"/>
    </row>
    <row r="4" spans="1:15" ht="15" customHeight="1" x14ac:dyDescent="0.45">
      <c r="A4" s="10"/>
      <c r="B4" s="125"/>
      <c r="C4" s="126"/>
      <c r="D4" s="37" t="s">
        <v>2</v>
      </c>
      <c r="E4" s="38">
        <v>100000</v>
      </c>
      <c r="F4" s="10"/>
      <c r="G4" s="94" t="s">
        <v>43</v>
      </c>
      <c r="H4" s="93" t="s">
        <v>50</v>
      </c>
      <c r="I4" s="49">
        <f>I43</f>
        <v>0.26045600000000002</v>
      </c>
      <c r="J4" s="10"/>
      <c r="K4" s="84">
        <f>C155</f>
        <v>20000</v>
      </c>
      <c r="L4" s="85" t="s">
        <v>51</v>
      </c>
      <c r="M4" s="52">
        <f>I192</f>
        <v>1244.2824074074074</v>
      </c>
      <c r="N4" s="80">
        <f t="shared" ref="N4:N11" si="0">M4*$I$16</f>
        <v>309617280</v>
      </c>
      <c r="O4" s="10"/>
    </row>
    <row r="5" spans="1:15" ht="15" customHeight="1" x14ac:dyDescent="0.45">
      <c r="A5" s="43"/>
      <c r="B5" s="125"/>
      <c r="C5" s="126"/>
      <c r="D5" s="20" t="s">
        <v>76</v>
      </c>
      <c r="E5" s="39">
        <v>0.01</v>
      </c>
      <c r="F5" s="43"/>
      <c r="G5" s="60" t="s">
        <v>46</v>
      </c>
      <c r="H5" s="81" t="s">
        <v>50</v>
      </c>
      <c r="I5" s="100">
        <f>I51</f>
        <v>6.2802854938271604E-2</v>
      </c>
      <c r="J5" s="43"/>
      <c r="K5" s="84">
        <f>C155</f>
        <v>20000</v>
      </c>
      <c r="L5" s="82" t="s">
        <v>52</v>
      </c>
      <c r="M5" s="52">
        <f>I193</f>
        <v>6221.4120370370374</v>
      </c>
      <c r="N5" s="80">
        <f t="shared" si="0"/>
        <v>1548086400</v>
      </c>
      <c r="O5" s="43"/>
    </row>
    <row r="6" spans="1:15" ht="15" customHeight="1" x14ac:dyDescent="0.45">
      <c r="A6" s="43"/>
      <c r="B6" s="125"/>
      <c r="C6" s="126"/>
      <c r="D6" s="20" t="s">
        <v>81</v>
      </c>
      <c r="E6" s="40">
        <v>0.2</v>
      </c>
      <c r="F6" s="43"/>
      <c r="G6" s="60" t="s">
        <v>74</v>
      </c>
      <c r="H6" s="81" t="s">
        <v>50</v>
      </c>
      <c r="I6" s="100">
        <f>I64</f>
        <v>1.8186856995884772E-2</v>
      </c>
      <c r="J6" s="43"/>
      <c r="K6" s="84">
        <f>C158</f>
        <v>400000</v>
      </c>
      <c r="L6" s="85" t="s">
        <v>51</v>
      </c>
      <c r="M6" s="32">
        <f>I195</f>
        <v>24885.648148148153</v>
      </c>
      <c r="N6" s="80">
        <f t="shared" si="0"/>
        <v>6192345600.000001</v>
      </c>
      <c r="O6" s="43"/>
    </row>
    <row r="7" spans="1:15" ht="15" customHeight="1" x14ac:dyDescent="0.45">
      <c r="A7" s="10"/>
      <c r="B7" s="125"/>
      <c r="C7" s="126"/>
      <c r="D7" s="37" t="s">
        <v>36</v>
      </c>
      <c r="E7" s="41">
        <v>0.17499999999999999</v>
      </c>
      <c r="F7" s="10"/>
      <c r="G7" s="60" t="s">
        <v>77</v>
      </c>
      <c r="H7" s="81" t="s">
        <v>50</v>
      </c>
      <c r="I7" s="100">
        <f>-I125</f>
        <v>-4.4859182098765431E-2</v>
      </c>
      <c r="J7" s="10"/>
      <c r="K7" s="84">
        <f>C158</f>
        <v>400000</v>
      </c>
      <c r="L7" s="82" t="s">
        <v>52</v>
      </c>
      <c r="M7" s="52">
        <f>I196</f>
        <v>124428.24074074076</v>
      </c>
      <c r="N7" s="80">
        <f t="shared" si="0"/>
        <v>30961728000.000004</v>
      </c>
      <c r="O7" s="10"/>
    </row>
    <row r="8" spans="1:15" ht="15" customHeight="1" x14ac:dyDescent="0.45">
      <c r="A8" s="10"/>
      <c r="B8" s="125"/>
      <c r="C8" s="126"/>
      <c r="D8" s="37" t="s">
        <v>35</v>
      </c>
      <c r="E8" s="41">
        <v>0.7</v>
      </c>
      <c r="F8" s="10"/>
      <c r="G8" s="92" t="s">
        <v>47</v>
      </c>
      <c r="H8" s="93" t="s">
        <v>50</v>
      </c>
      <c r="I8" s="49">
        <f>I79</f>
        <v>3.6130529835390938E-2</v>
      </c>
      <c r="J8" s="10"/>
      <c r="K8" s="95">
        <f>C197</f>
        <v>1000000</v>
      </c>
      <c r="L8" s="96" t="s">
        <v>51</v>
      </c>
      <c r="M8" s="52">
        <f>I198</f>
        <v>62214.120370370372</v>
      </c>
      <c r="N8" s="80">
        <f t="shared" si="0"/>
        <v>15480864000</v>
      </c>
      <c r="O8" s="10"/>
    </row>
    <row r="9" spans="1:15" ht="15" customHeight="1" x14ac:dyDescent="0.45">
      <c r="A9" s="10"/>
      <c r="B9" s="125"/>
      <c r="C9" s="126"/>
      <c r="D9" s="37" t="s">
        <v>34</v>
      </c>
      <c r="E9" s="41">
        <v>0.3</v>
      </c>
      <c r="F9" s="10"/>
      <c r="G9" s="60" t="s">
        <v>48</v>
      </c>
      <c r="H9" s="81" t="s">
        <v>50</v>
      </c>
      <c r="I9" s="101">
        <f>I97</f>
        <v>7.1774691358024695E-2</v>
      </c>
      <c r="J9" s="9"/>
      <c r="K9" s="95">
        <f>C161</f>
        <v>1000000</v>
      </c>
      <c r="L9" s="97" t="s">
        <v>52</v>
      </c>
      <c r="M9" s="51">
        <f>I199</f>
        <v>311070.60185185191</v>
      </c>
      <c r="N9" s="80">
        <f t="shared" si="0"/>
        <v>77404320000.000015</v>
      </c>
      <c r="O9" s="10"/>
    </row>
    <row r="10" spans="1:15" ht="15" customHeight="1" x14ac:dyDescent="0.45">
      <c r="A10" s="10"/>
      <c r="B10" s="125"/>
      <c r="C10" s="126"/>
      <c r="D10" s="37" t="s">
        <v>40</v>
      </c>
      <c r="E10" s="42">
        <f>SUM(E8:E9)</f>
        <v>1</v>
      </c>
      <c r="F10" s="4"/>
      <c r="G10" s="83" t="s">
        <v>73</v>
      </c>
      <c r="H10" s="81" t="s">
        <v>50</v>
      </c>
      <c r="I10" s="101">
        <f>I110</f>
        <v>7.7943672839506165E-3</v>
      </c>
      <c r="J10" s="9"/>
      <c r="K10" s="95">
        <f>C164</f>
        <v>2100000</v>
      </c>
      <c r="L10" s="96" t="s">
        <v>51</v>
      </c>
      <c r="M10" s="52">
        <f>I201</f>
        <v>130649.6527777778</v>
      </c>
      <c r="N10" s="80">
        <f t="shared" si="0"/>
        <v>32509814400.000004</v>
      </c>
      <c r="O10" s="10"/>
    </row>
    <row r="11" spans="1:15" ht="15" customHeight="1" x14ac:dyDescent="0.45">
      <c r="A11" s="10"/>
      <c r="B11" s="125"/>
      <c r="C11" s="126"/>
      <c r="D11" s="37" t="s">
        <v>78</v>
      </c>
      <c r="E11" s="41">
        <v>7.4999999999999997E-2</v>
      </c>
      <c r="F11" s="4"/>
      <c r="G11" s="83" t="s">
        <v>72</v>
      </c>
      <c r="H11" s="81" t="s">
        <v>50</v>
      </c>
      <c r="I11" s="101">
        <f>I125</f>
        <v>4.4859182098765431E-2</v>
      </c>
      <c r="J11" s="9"/>
      <c r="K11" s="95">
        <f>C164</f>
        <v>2100000</v>
      </c>
      <c r="L11" s="97" t="s">
        <v>52</v>
      </c>
      <c r="M11" s="52">
        <f>I202</f>
        <v>653248.26388888888</v>
      </c>
      <c r="N11" s="80">
        <f t="shared" si="0"/>
        <v>162549072000</v>
      </c>
      <c r="O11" s="10"/>
    </row>
    <row r="12" spans="1:15" ht="15" customHeight="1" x14ac:dyDescent="0.45">
      <c r="A12" s="10"/>
      <c r="B12" s="127"/>
      <c r="C12" s="128"/>
      <c r="D12" s="37" t="s">
        <v>79</v>
      </c>
      <c r="E12" s="41">
        <v>1</v>
      </c>
      <c r="F12" s="4"/>
      <c r="G12" s="92" t="s">
        <v>49</v>
      </c>
      <c r="H12" s="93" t="s">
        <v>50</v>
      </c>
      <c r="I12" s="50">
        <f>I138</f>
        <v>0.12442824074074074</v>
      </c>
      <c r="J12" s="9"/>
      <c r="K12" s="90"/>
      <c r="L12" s="91"/>
      <c r="M12" s="90"/>
      <c r="N12" s="91"/>
      <c r="O12" s="90"/>
    </row>
    <row r="13" spans="1:15" ht="15" customHeight="1" x14ac:dyDescent="0.45">
      <c r="A13" s="9"/>
      <c r="B13" s="11"/>
      <c r="C13" s="9"/>
      <c r="D13" s="11"/>
      <c r="E13" s="4"/>
      <c r="F13" s="4"/>
      <c r="G13" s="11"/>
      <c r="H13" s="11"/>
      <c r="I13" s="4"/>
      <c r="J13" s="9"/>
      <c r="K13" s="9"/>
      <c r="L13" s="9"/>
      <c r="M13" s="9"/>
      <c r="N13" s="9"/>
      <c r="O13" s="9"/>
    </row>
    <row r="14" spans="1:15" ht="15" customHeight="1" x14ac:dyDescent="0.45">
      <c r="B14" s="137" t="s">
        <v>64</v>
      </c>
      <c r="C14" s="137" t="s">
        <v>62</v>
      </c>
      <c r="D14" s="137" t="s">
        <v>63</v>
      </c>
      <c r="E14" s="138" t="s">
        <v>3</v>
      </c>
      <c r="F14" s="138" t="s">
        <v>4</v>
      </c>
      <c r="G14" s="138" t="s">
        <v>5</v>
      </c>
      <c r="H14" s="138" t="s">
        <v>6</v>
      </c>
      <c r="I14" s="138" t="s">
        <v>7</v>
      </c>
      <c r="J14" s="138" t="s">
        <v>8</v>
      </c>
      <c r="K14" s="138" t="s">
        <v>9</v>
      </c>
      <c r="L14" s="138" t="s">
        <v>10</v>
      </c>
      <c r="M14" s="138" t="s">
        <v>11</v>
      </c>
      <c r="N14" s="138" t="s">
        <v>12</v>
      </c>
    </row>
    <row r="15" spans="1:15" ht="15" customHeight="1" x14ac:dyDescent="0.45">
      <c r="B15" s="131"/>
      <c r="C15" s="131"/>
      <c r="D15" s="131"/>
      <c r="E15" s="139"/>
      <c r="F15" s="139"/>
      <c r="G15" s="139"/>
      <c r="H15" s="139"/>
      <c r="I15" s="139"/>
      <c r="J15" s="139"/>
      <c r="K15" s="139"/>
      <c r="L15" s="139"/>
      <c r="M15" s="139"/>
      <c r="N15" s="139"/>
    </row>
    <row r="16" spans="1:15" ht="15" customHeight="1" x14ac:dyDescent="0.45">
      <c r="B16" s="140" t="s">
        <v>20</v>
      </c>
      <c r="C16" s="140" t="s">
        <v>42</v>
      </c>
      <c r="D16" s="21" t="s">
        <v>60</v>
      </c>
      <c r="E16" s="23">
        <f>($E$4 * $E$6) + $E$4</f>
        <v>120000</v>
      </c>
      <c r="F16" s="23">
        <f t="shared" ref="F16:N16" si="1">(E16 * $E$6) + E16</f>
        <v>144000</v>
      </c>
      <c r="G16" s="23">
        <f t="shared" si="1"/>
        <v>172800</v>
      </c>
      <c r="H16" s="23">
        <f t="shared" si="1"/>
        <v>207360</v>
      </c>
      <c r="I16" s="23">
        <f t="shared" si="1"/>
        <v>248832</v>
      </c>
      <c r="J16" s="23">
        <f t="shared" si="1"/>
        <v>298598.40000000002</v>
      </c>
      <c r="K16" s="23">
        <f t="shared" si="1"/>
        <v>358318.08000000002</v>
      </c>
      <c r="L16" s="23">
        <f t="shared" si="1"/>
        <v>429981.696</v>
      </c>
      <c r="M16" s="23">
        <f t="shared" si="1"/>
        <v>515978.03519999998</v>
      </c>
      <c r="N16" s="23">
        <f t="shared" si="1"/>
        <v>619173.64223999996</v>
      </c>
    </row>
    <row r="17" spans="1:15" ht="15" customHeight="1" x14ac:dyDescent="0.45">
      <c r="B17" s="142"/>
      <c r="C17" s="142"/>
      <c r="D17" s="21" t="s">
        <v>61</v>
      </c>
      <c r="E17" s="27">
        <f>E16*21000000</f>
        <v>2520000000000</v>
      </c>
      <c r="F17" s="27">
        <f t="shared" ref="F17:N17" si="2">F16*21000000</f>
        <v>3024000000000</v>
      </c>
      <c r="G17" s="27">
        <f t="shared" si="2"/>
        <v>3628800000000</v>
      </c>
      <c r="H17" s="27">
        <f t="shared" si="2"/>
        <v>4354560000000</v>
      </c>
      <c r="I17" s="27">
        <f t="shared" si="2"/>
        <v>5225472000000</v>
      </c>
      <c r="J17" s="27">
        <f t="shared" si="2"/>
        <v>6270566400000.001</v>
      </c>
      <c r="K17" s="27">
        <f t="shared" si="2"/>
        <v>7524679680000</v>
      </c>
      <c r="L17" s="27">
        <f t="shared" si="2"/>
        <v>9029615616000</v>
      </c>
      <c r="M17" s="27">
        <f t="shared" si="2"/>
        <v>10835538739200</v>
      </c>
      <c r="N17" s="27">
        <f t="shared" si="2"/>
        <v>13002646487040</v>
      </c>
    </row>
    <row r="18" spans="1:15" ht="15" customHeight="1" x14ac:dyDescent="0.45">
      <c r="B18" s="140" t="s">
        <v>16</v>
      </c>
      <c r="C18" s="143" t="s">
        <v>41</v>
      </c>
      <c r="D18" s="21" t="s">
        <v>53</v>
      </c>
      <c r="E18" s="28">
        <f t="shared" ref="E18:N18" si="3">(E16-$E$4)/E16</f>
        <v>0.16666666666666666</v>
      </c>
      <c r="F18" s="28">
        <f t="shared" si="3"/>
        <v>0.30555555555555558</v>
      </c>
      <c r="G18" s="28">
        <f t="shared" si="3"/>
        <v>0.42129629629629628</v>
      </c>
      <c r="H18" s="28">
        <f t="shared" si="3"/>
        <v>0.51774691358024694</v>
      </c>
      <c r="I18" s="28">
        <f t="shared" si="3"/>
        <v>0.5981224279835391</v>
      </c>
      <c r="J18" s="28">
        <f t="shared" si="3"/>
        <v>0.66510202331961599</v>
      </c>
      <c r="K18" s="28">
        <f t="shared" si="3"/>
        <v>0.72091835276634664</v>
      </c>
      <c r="L18" s="28">
        <f t="shared" si="3"/>
        <v>0.76743196063862218</v>
      </c>
      <c r="M18" s="28">
        <f t="shared" si="3"/>
        <v>0.80619330053218508</v>
      </c>
      <c r="N18" s="28">
        <f t="shared" si="3"/>
        <v>0.83849441711015427</v>
      </c>
    </row>
    <row r="19" spans="1:15" ht="15" customHeight="1" x14ac:dyDescent="0.45">
      <c r="B19" s="141"/>
      <c r="C19" s="144"/>
      <c r="D19" s="21" t="s">
        <v>54</v>
      </c>
      <c r="E19" s="28">
        <f>1-E18</f>
        <v>0.83333333333333337</v>
      </c>
      <c r="F19" s="28">
        <f t="shared" ref="F19:N19" si="4">1-F18</f>
        <v>0.69444444444444442</v>
      </c>
      <c r="G19" s="28">
        <f t="shared" si="4"/>
        <v>0.57870370370370372</v>
      </c>
      <c r="H19" s="28">
        <f t="shared" si="4"/>
        <v>0.48225308641975306</v>
      </c>
      <c r="I19" s="28">
        <f t="shared" si="4"/>
        <v>0.4018775720164609</v>
      </c>
      <c r="J19" s="28">
        <f t="shared" si="4"/>
        <v>0.33489797668038401</v>
      </c>
      <c r="K19" s="28">
        <f t="shared" si="4"/>
        <v>0.27908164723365336</v>
      </c>
      <c r="L19" s="28">
        <f t="shared" si="4"/>
        <v>0.23256803936137782</v>
      </c>
      <c r="M19" s="28">
        <f t="shared" si="4"/>
        <v>0.19380669946781492</v>
      </c>
      <c r="N19" s="28">
        <f t="shared" si="4"/>
        <v>0.16150558288984573</v>
      </c>
    </row>
    <row r="20" spans="1:15" ht="15" customHeight="1" x14ac:dyDescent="0.45">
      <c r="B20" s="141"/>
      <c r="C20" s="144"/>
      <c r="D20" s="21" t="s">
        <v>55</v>
      </c>
      <c r="E20" s="98">
        <f>E18</f>
        <v>0.16666666666666666</v>
      </c>
      <c r="F20" s="98">
        <f t="shared" ref="F20:N20" si="5">F18-E18</f>
        <v>0.13888888888888892</v>
      </c>
      <c r="G20" s="98">
        <f t="shared" si="5"/>
        <v>0.1157407407407407</v>
      </c>
      <c r="H20" s="98">
        <f t="shared" si="5"/>
        <v>9.6450617283950657E-2</v>
      </c>
      <c r="I20" s="98">
        <f t="shared" si="5"/>
        <v>8.0375514403292159E-2</v>
      </c>
      <c r="J20" s="98">
        <f t="shared" si="5"/>
        <v>6.6979595336076891E-2</v>
      </c>
      <c r="K20" s="98">
        <f t="shared" si="5"/>
        <v>5.581632944673065E-2</v>
      </c>
      <c r="L20" s="98">
        <f t="shared" si="5"/>
        <v>4.6513607872275542E-2</v>
      </c>
      <c r="M20" s="98">
        <f t="shared" si="5"/>
        <v>3.8761339893562896E-2</v>
      </c>
      <c r="N20" s="98">
        <f t="shared" si="5"/>
        <v>3.2301116577969191E-2</v>
      </c>
    </row>
    <row r="21" spans="1:15" ht="15" customHeight="1" x14ac:dyDescent="0.45">
      <c r="B21" s="141"/>
      <c r="C21" s="144"/>
      <c r="D21" s="21" t="s">
        <v>56</v>
      </c>
      <c r="E21" s="98"/>
      <c r="F21" s="98"/>
      <c r="G21" s="98"/>
      <c r="H21" s="98"/>
      <c r="I21" s="98">
        <f>SUM(E20:I20)/5</f>
        <v>0.11962448559670782</v>
      </c>
      <c r="J21" s="28"/>
      <c r="K21" s="28"/>
      <c r="L21" s="28"/>
      <c r="M21" s="28"/>
      <c r="N21" s="98">
        <f>SUM(E20:N20)/10</f>
        <v>8.3849441711015424E-2</v>
      </c>
    </row>
    <row r="22" spans="1:15" ht="15" customHeight="1" x14ac:dyDescent="0.45">
      <c r="B22" s="141"/>
      <c r="C22" s="144"/>
      <c r="D22" s="21" t="s">
        <v>82</v>
      </c>
      <c r="E22" s="98">
        <f>$E$12*E20</f>
        <v>0.16666666666666666</v>
      </c>
      <c r="F22" s="98">
        <f t="shared" ref="F22:N22" si="6">$E$12*F20</f>
        <v>0.13888888888888892</v>
      </c>
      <c r="G22" s="98">
        <f t="shared" si="6"/>
        <v>0.1157407407407407</v>
      </c>
      <c r="H22" s="98">
        <f t="shared" si="6"/>
        <v>9.6450617283950657E-2</v>
      </c>
      <c r="I22" s="98">
        <f t="shared" si="6"/>
        <v>8.0375514403292159E-2</v>
      </c>
      <c r="J22" s="98">
        <f t="shared" si="6"/>
        <v>6.6979595336076891E-2</v>
      </c>
      <c r="K22" s="98">
        <f t="shared" si="6"/>
        <v>5.581632944673065E-2</v>
      </c>
      <c r="L22" s="98">
        <f t="shared" si="6"/>
        <v>4.6513607872275542E-2</v>
      </c>
      <c r="M22" s="98">
        <f t="shared" si="6"/>
        <v>3.8761339893562896E-2</v>
      </c>
      <c r="N22" s="98">
        <f t="shared" si="6"/>
        <v>3.2301116577969191E-2</v>
      </c>
    </row>
    <row r="23" spans="1:15" ht="15" customHeight="1" x14ac:dyDescent="0.45">
      <c r="B23" s="141"/>
      <c r="C23" s="144"/>
      <c r="D23" s="21" t="s">
        <v>83</v>
      </c>
      <c r="E23" s="98"/>
      <c r="F23" s="98"/>
      <c r="G23" s="98"/>
      <c r="H23" s="98"/>
      <c r="I23" s="98">
        <f>SUM(E22:I22)/5</f>
        <v>0.11962448559670782</v>
      </c>
      <c r="J23" s="28"/>
      <c r="K23" s="28"/>
      <c r="L23" s="28"/>
      <c r="M23" s="28"/>
      <c r="N23" s="98">
        <f>SUM(E22:N22)/10</f>
        <v>8.3849441711015424E-2</v>
      </c>
    </row>
    <row r="24" spans="1:15" ht="15" customHeight="1" x14ac:dyDescent="0.45">
      <c r="B24" s="141"/>
      <c r="C24" s="144"/>
      <c r="D24" s="17" t="s">
        <v>84</v>
      </c>
      <c r="E24" s="19">
        <f>E20+E22</f>
        <v>0.33333333333333331</v>
      </c>
      <c r="F24" s="19">
        <f t="shared" ref="F24:N24" si="7">F20+F22</f>
        <v>0.27777777777777785</v>
      </c>
      <c r="G24" s="19">
        <f t="shared" si="7"/>
        <v>0.2314814814814814</v>
      </c>
      <c r="H24" s="19">
        <f t="shared" si="7"/>
        <v>0.19290123456790131</v>
      </c>
      <c r="I24" s="19">
        <f t="shared" si="7"/>
        <v>0.16075102880658432</v>
      </c>
      <c r="J24" s="19">
        <f t="shared" si="7"/>
        <v>0.13395919067215378</v>
      </c>
      <c r="K24" s="19">
        <f t="shared" si="7"/>
        <v>0.1116326588934613</v>
      </c>
      <c r="L24" s="19">
        <f t="shared" si="7"/>
        <v>9.3027215744551084E-2</v>
      </c>
      <c r="M24" s="19">
        <f t="shared" si="7"/>
        <v>7.7522679787125792E-2</v>
      </c>
      <c r="N24" s="19">
        <f t="shared" si="7"/>
        <v>6.4602233155938382E-2</v>
      </c>
    </row>
    <row r="25" spans="1:15" ht="15" customHeight="1" x14ac:dyDescent="0.45">
      <c r="B25" s="142"/>
      <c r="C25" s="145"/>
      <c r="D25" s="17" t="s">
        <v>85</v>
      </c>
      <c r="E25" s="19"/>
      <c r="F25" s="19"/>
      <c r="G25" s="19"/>
      <c r="H25" s="19"/>
      <c r="I25" s="19">
        <f>SUM(E24:I24)/5</f>
        <v>0.23924897119341565</v>
      </c>
      <c r="J25" s="18"/>
      <c r="K25" s="18"/>
      <c r="L25" s="18"/>
      <c r="M25" s="18"/>
      <c r="N25" s="19">
        <f>SUM(E24:N24)/10</f>
        <v>0.16769888342203085</v>
      </c>
    </row>
    <row r="26" spans="1:15" ht="15" customHeight="1" x14ac:dyDescent="0.45">
      <c r="B26" s="140" t="s">
        <v>17</v>
      </c>
      <c r="C26" s="143" t="s">
        <v>41</v>
      </c>
      <c r="D26" s="17" t="s">
        <v>55</v>
      </c>
      <c r="E26" s="19">
        <f>((1+$E$12)*$E$5)+($E$5*E19)</f>
        <v>2.8333333333333335E-2</v>
      </c>
      <c r="F26" s="19">
        <f>((1+$E$12)*$E$5)+($E$5*F19)</f>
        <v>2.6944444444444444E-2</v>
      </c>
      <c r="G26" s="19">
        <f t="shared" ref="G26:N26" si="8">((1+$E$12)*$E$5)+($E$5*G19)</f>
        <v>2.5787037037037039E-2</v>
      </c>
      <c r="H26" s="19">
        <f t="shared" si="8"/>
        <v>2.4822530864197532E-2</v>
      </c>
      <c r="I26" s="19">
        <f t="shared" si="8"/>
        <v>2.4018775720164608E-2</v>
      </c>
      <c r="J26" s="19">
        <f t="shared" si="8"/>
        <v>2.3348979766803842E-2</v>
      </c>
      <c r="K26" s="19">
        <f t="shared" si="8"/>
        <v>2.2790816472336533E-2</v>
      </c>
      <c r="L26" s="19">
        <f t="shared" si="8"/>
        <v>2.2325680393613778E-2</v>
      </c>
      <c r="M26" s="19">
        <f t="shared" si="8"/>
        <v>2.1938066994678151E-2</v>
      </c>
      <c r="N26" s="19">
        <f t="shared" si="8"/>
        <v>2.1615055828898458E-2</v>
      </c>
    </row>
    <row r="27" spans="1:15" ht="15" customHeight="1" x14ac:dyDescent="0.45">
      <c r="B27" s="141"/>
      <c r="C27" s="144"/>
      <c r="D27" s="17" t="s">
        <v>56</v>
      </c>
      <c r="E27" s="19"/>
      <c r="F27" s="19"/>
      <c r="G27" s="19"/>
      <c r="H27" s="19"/>
      <c r="I27" s="19">
        <f>SUM(E26:I26)/5</f>
        <v>2.5981224279835392E-2</v>
      </c>
      <c r="J27" s="18"/>
      <c r="K27" s="18"/>
      <c r="L27" s="18"/>
      <c r="M27" s="18"/>
      <c r="N27" s="19">
        <f>SUM(E26:N26)/10</f>
        <v>2.4192472085550771E-2</v>
      </c>
    </row>
    <row r="28" spans="1:15" ht="15" customHeight="1" x14ac:dyDescent="0.45">
      <c r="B28" s="141"/>
      <c r="C28" s="144"/>
      <c r="D28" s="21" t="s">
        <v>53</v>
      </c>
      <c r="E28" s="98">
        <f>E26</f>
        <v>2.8333333333333335E-2</v>
      </c>
      <c r="F28" s="98">
        <f t="shared" ref="F28:N28" si="9">E28+F26</f>
        <v>5.527777777777778E-2</v>
      </c>
      <c r="G28" s="98">
        <f t="shared" si="9"/>
        <v>8.1064814814814812E-2</v>
      </c>
      <c r="H28" s="98">
        <f t="shared" si="9"/>
        <v>0.10588734567901234</v>
      </c>
      <c r="I28" s="98">
        <f t="shared" si="9"/>
        <v>0.12990612139917695</v>
      </c>
      <c r="J28" s="98">
        <f t="shared" si="9"/>
        <v>0.15325510116598079</v>
      </c>
      <c r="K28" s="98">
        <f t="shared" si="9"/>
        <v>0.17604591763831731</v>
      </c>
      <c r="L28" s="98">
        <f t="shared" si="9"/>
        <v>0.19837159803193108</v>
      </c>
      <c r="M28" s="98">
        <f t="shared" si="9"/>
        <v>0.22030966502660923</v>
      </c>
      <c r="N28" s="98">
        <f t="shared" si="9"/>
        <v>0.2419247208555077</v>
      </c>
    </row>
    <row r="29" spans="1:15" ht="15" customHeight="1" x14ac:dyDescent="0.45">
      <c r="B29" s="141"/>
      <c r="C29" s="144"/>
      <c r="D29" s="21" t="s">
        <v>111</v>
      </c>
      <c r="E29" s="98">
        <f>((1+$E$12)*$E$5)+$E$5</f>
        <v>0.03</v>
      </c>
      <c r="F29" s="98">
        <f t="shared" ref="F29:N29" si="10">((1+$E$12)*$E$5)+$E$5</f>
        <v>0.03</v>
      </c>
      <c r="G29" s="98">
        <f t="shared" si="10"/>
        <v>0.03</v>
      </c>
      <c r="H29" s="98">
        <f t="shared" si="10"/>
        <v>0.03</v>
      </c>
      <c r="I29" s="98">
        <f t="shared" si="10"/>
        <v>0.03</v>
      </c>
      <c r="J29" s="98">
        <f t="shared" si="10"/>
        <v>0.03</v>
      </c>
      <c r="K29" s="98">
        <f t="shared" si="10"/>
        <v>0.03</v>
      </c>
      <c r="L29" s="98">
        <f t="shared" si="10"/>
        <v>0.03</v>
      </c>
      <c r="M29" s="98">
        <f t="shared" si="10"/>
        <v>0.03</v>
      </c>
      <c r="N29" s="98">
        <f t="shared" si="10"/>
        <v>0.03</v>
      </c>
      <c r="O29" s="12"/>
    </row>
    <row r="30" spans="1:15" ht="15" customHeight="1" x14ac:dyDescent="0.45">
      <c r="B30" s="142"/>
      <c r="C30" s="145"/>
      <c r="D30" s="21" t="s">
        <v>112</v>
      </c>
      <c r="E30" s="98">
        <f>E29</f>
        <v>0.03</v>
      </c>
      <c r="F30" s="98">
        <f>E30+F29</f>
        <v>0.06</v>
      </c>
      <c r="G30" s="98">
        <f t="shared" ref="G30:N30" si="11">F30+G29</f>
        <v>0.09</v>
      </c>
      <c r="H30" s="98">
        <f t="shared" si="11"/>
        <v>0.12</v>
      </c>
      <c r="I30" s="98">
        <f t="shared" si="11"/>
        <v>0.15</v>
      </c>
      <c r="J30" s="98">
        <f t="shared" si="11"/>
        <v>0.18</v>
      </c>
      <c r="K30" s="98">
        <f t="shared" si="11"/>
        <v>0.21</v>
      </c>
      <c r="L30" s="98">
        <f t="shared" si="11"/>
        <v>0.24</v>
      </c>
      <c r="M30" s="98">
        <f t="shared" si="11"/>
        <v>0.27</v>
      </c>
      <c r="N30" s="98">
        <f t="shared" si="11"/>
        <v>0.30000000000000004</v>
      </c>
      <c r="O30" s="12"/>
    </row>
    <row r="31" spans="1:15" ht="15" customHeight="1" x14ac:dyDescent="0.45">
      <c r="B31" s="4"/>
      <c r="C31" s="1"/>
      <c r="D31" s="53"/>
      <c r="E31" s="36"/>
      <c r="F31" s="36"/>
      <c r="G31" s="36"/>
      <c r="H31" s="36"/>
      <c r="I31" s="36"/>
      <c r="J31" s="36"/>
      <c r="K31" s="36"/>
      <c r="L31" s="36"/>
      <c r="M31" s="36"/>
      <c r="N31" s="36"/>
    </row>
    <row r="32" spans="1:15" ht="15" customHeight="1" x14ac:dyDescent="0.45">
      <c r="A32" s="9"/>
      <c r="B32" s="149" t="s">
        <v>37</v>
      </c>
      <c r="C32" s="54" t="s">
        <v>32</v>
      </c>
      <c r="D32" s="55">
        <f>E7</f>
        <v>0.17499999999999999</v>
      </c>
      <c r="E32" s="138" t="s">
        <v>3</v>
      </c>
      <c r="F32" s="138" t="s">
        <v>4</v>
      </c>
      <c r="G32" s="138" t="s">
        <v>5</v>
      </c>
      <c r="H32" s="138" t="s">
        <v>6</v>
      </c>
      <c r="I32" s="138" t="s">
        <v>7</v>
      </c>
      <c r="J32" s="138" t="s">
        <v>8</v>
      </c>
      <c r="K32" s="138" t="s">
        <v>9</v>
      </c>
      <c r="L32" s="138" t="s">
        <v>10</v>
      </c>
      <c r="M32" s="138" t="s">
        <v>11</v>
      </c>
      <c r="N32" s="138" t="s">
        <v>12</v>
      </c>
      <c r="O32" s="9"/>
    </row>
    <row r="33" spans="1:18" ht="15" customHeight="1" x14ac:dyDescent="0.45">
      <c r="B33" s="150"/>
      <c r="C33" s="45" t="s">
        <v>21</v>
      </c>
      <c r="D33" s="33" t="str">
        <f>"10 BTC / "&amp;TEXT($E$4*10, "$###0.00,,")&amp;"M USD"</f>
        <v>10 BTC / $1.00M USD</v>
      </c>
      <c r="E33" s="139"/>
      <c r="F33" s="139"/>
      <c r="G33" s="139"/>
      <c r="H33" s="139"/>
      <c r="I33" s="139"/>
      <c r="J33" s="139"/>
      <c r="K33" s="139"/>
      <c r="L33" s="139"/>
      <c r="M33" s="139"/>
      <c r="N33" s="139"/>
    </row>
    <row r="34" spans="1:18" ht="15" customHeight="1" x14ac:dyDescent="0.45">
      <c r="B34" s="140" t="s">
        <v>16</v>
      </c>
      <c r="C34" s="146" t="s">
        <v>41</v>
      </c>
      <c r="D34" s="17" t="s">
        <v>84</v>
      </c>
      <c r="E34" s="18">
        <f>E39*$E$4/E$16</f>
        <v>0.14583333333333334</v>
      </c>
      <c r="F34" s="18">
        <f t="shared" ref="F34:N34" si="12">F39*$E$4/F$16</f>
        <v>0.12152777777777778</v>
      </c>
      <c r="G34" s="18">
        <f t="shared" si="12"/>
        <v>0.10127314814814815</v>
      </c>
      <c r="H34" s="18">
        <f t="shared" si="12"/>
        <v>8.4394290123456783E-2</v>
      </c>
      <c r="I34" s="18">
        <f t="shared" si="12"/>
        <v>7.0328575102880653E-2</v>
      </c>
      <c r="J34" s="18">
        <f t="shared" si="12"/>
        <v>5.8607145919067211E-2</v>
      </c>
      <c r="K34" s="18">
        <f t="shared" si="12"/>
        <v>4.8839288265889347E-2</v>
      </c>
      <c r="L34" s="18">
        <f t="shared" si="12"/>
        <v>4.069940688824112E-2</v>
      </c>
      <c r="M34" s="18">
        <f t="shared" si="12"/>
        <v>3.3916172406867603E-2</v>
      </c>
      <c r="N34" s="18">
        <f t="shared" si="12"/>
        <v>2.8263477005723004E-2</v>
      </c>
    </row>
    <row r="35" spans="1:18" ht="15" customHeight="1" x14ac:dyDescent="0.45">
      <c r="B35" s="141"/>
      <c r="C35" s="146"/>
      <c r="D35" s="17" t="s">
        <v>85</v>
      </c>
      <c r="E35" s="18"/>
      <c r="F35" s="18"/>
      <c r="G35" s="18"/>
      <c r="H35" s="18"/>
      <c r="I35" s="19">
        <f>SUM(E34:I34)/5</f>
        <v>0.10467142489711934</v>
      </c>
      <c r="J35" s="18"/>
      <c r="K35" s="18"/>
      <c r="L35" s="18"/>
      <c r="M35" s="18"/>
      <c r="N35" s="19">
        <f>SUM(E34:N34)/10</f>
        <v>7.3368261497138501E-2</v>
      </c>
    </row>
    <row r="36" spans="1:18" ht="15" customHeight="1" x14ac:dyDescent="0.45">
      <c r="B36" s="141"/>
      <c r="C36" s="146"/>
      <c r="D36" s="17" t="s">
        <v>53</v>
      </c>
      <c r="E36" s="18">
        <f t="shared" ref="E36:N36" si="13">E$18*(E34/E$20)</f>
        <v>0.14583333333333334</v>
      </c>
      <c r="F36" s="18">
        <f t="shared" si="13"/>
        <v>0.26736111111111105</v>
      </c>
      <c r="G36" s="18">
        <f t="shared" si="13"/>
        <v>0.36863425925925941</v>
      </c>
      <c r="H36" s="18">
        <f t="shared" si="13"/>
        <v>0.45302854938271586</v>
      </c>
      <c r="I36" s="18">
        <f t="shared" si="13"/>
        <v>0.52335712448559679</v>
      </c>
      <c r="J36" s="18">
        <f t="shared" si="13"/>
        <v>0.58196427040466336</v>
      </c>
      <c r="K36" s="18">
        <f t="shared" si="13"/>
        <v>0.6308035586705536</v>
      </c>
      <c r="L36" s="18">
        <f t="shared" si="13"/>
        <v>0.67150296555879474</v>
      </c>
      <c r="M36" s="18">
        <f t="shared" si="13"/>
        <v>0.70541913796566336</v>
      </c>
      <c r="N36" s="18">
        <f t="shared" si="13"/>
        <v>0.73368261497138398</v>
      </c>
    </row>
    <row r="37" spans="1:18" ht="15" customHeight="1" x14ac:dyDescent="0.45">
      <c r="B37" s="141"/>
      <c r="C37" s="147"/>
      <c r="D37" s="21" t="s">
        <v>57</v>
      </c>
      <c r="E37" s="22">
        <f t="shared" ref="E37:N37" si="14">10*E34</f>
        <v>1.4583333333333335</v>
      </c>
      <c r="F37" s="22">
        <f t="shared" si="14"/>
        <v>1.2152777777777777</v>
      </c>
      <c r="G37" s="22">
        <f t="shared" si="14"/>
        <v>1.0127314814814816</v>
      </c>
      <c r="H37" s="22">
        <f t="shared" si="14"/>
        <v>0.84394290123456783</v>
      </c>
      <c r="I37" s="22">
        <f t="shared" si="14"/>
        <v>0.70328575102880653</v>
      </c>
      <c r="J37" s="22">
        <f t="shared" si="14"/>
        <v>0.58607145919067216</v>
      </c>
      <c r="K37" s="22">
        <f t="shared" si="14"/>
        <v>0.48839288265889347</v>
      </c>
      <c r="L37" s="22">
        <f t="shared" si="14"/>
        <v>0.40699406888241119</v>
      </c>
      <c r="M37" s="22">
        <f t="shared" si="14"/>
        <v>0.33916172406867606</v>
      </c>
      <c r="N37" s="22">
        <f t="shared" si="14"/>
        <v>0.28263477005723003</v>
      </c>
      <c r="R37" s="13"/>
    </row>
    <row r="38" spans="1:18" ht="15" customHeight="1" x14ac:dyDescent="0.45">
      <c r="B38" s="141"/>
      <c r="C38" s="147"/>
      <c r="D38" s="21" t="s">
        <v>58</v>
      </c>
      <c r="E38" s="22">
        <f>10*E36</f>
        <v>1.4583333333333335</v>
      </c>
      <c r="F38" s="22">
        <f>10*F36</f>
        <v>2.6736111111111107</v>
      </c>
      <c r="G38" s="22">
        <f>10*G36</f>
        <v>3.6863425925925943</v>
      </c>
      <c r="H38" s="22">
        <f t="shared" ref="H38:N38" si="15">10*H36</f>
        <v>4.5302854938271588</v>
      </c>
      <c r="I38" s="22">
        <f t="shared" si="15"/>
        <v>5.2335712448559679</v>
      </c>
      <c r="J38" s="22">
        <f t="shared" si="15"/>
        <v>5.8196427040466334</v>
      </c>
      <c r="K38" s="22">
        <f t="shared" si="15"/>
        <v>6.308035586705536</v>
      </c>
      <c r="L38" s="22">
        <f t="shared" si="15"/>
        <v>6.7150296555879478</v>
      </c>
      <c r="M38" s="22">
        <f t="shared" si="15"/>
        <v>7.0541913796566336</v>
      </c>
      <c r="N38" s="22">
        <f t="shared" si="15"/>
        <v>7.3368261497138398</v>
      </c>
      <c r="R38" s="13"/>
    </row>
    <row r="39" spans="1:18" ht="15" customHeight="1" x14ac:dyDescent="0.45">
      <c r="B39" s="141"/>
      <c r="C39" s="148" t="s">
        <v>45</v>
      </c>
      <c r="D39" s="17" t="s">
        <v>55</v>
      </c>
      <c r="E39" s="18">
        <f>$D$32</f>
        <v>0.17499999999999999</v>
      </c>
      <c r="F39" s="18">
        <f t="shared" ref="F39:N39" si="16">$D$32</f>
        <v>0.17499999999999999</v>
      </c>
      <c r="G39" s="18">
        <f t="shared" si="16"/>
        <v>0.17499999999999999</v>
      </c>
      <c r="H39" s="18">
        <f t="shared" si="16"/>
        <v>0.17499999999999999</v>
      </c>
      <c r="I39" s="18">
        <f t="shared" si="16"/>
        <v>0.17499999999999999</v>
      </c>
      <c r="J39" s="18">
        <f t="shared" si="16"/>
        <v>0.17499999999999999</v>
      </c>
      <c r="K39" s="18">
        <f t="shared" si="16"/>
        <v>0.17499999999999999</v>
      </c>
      <c r="L39" s="18">
        <f t="shared" si="16"/>
        <v>0.17499999999999999</v>
      </c>
      <c r="M39" s="18">
        <f t="shared" si="16"/>
        <v>0.17499999999999999</v>
      </c>
      <c r="N39" s="18">
        <f t="shared" si="16"/>
        <v>0.17499999999999999</v>
      </c>
    </row>
    <row r="40" spans="1:18" ht="15" customHeight="1" x14ac:dyDescent="0.45">
      <c r="B40" s="141"/>
      <c r="C40" s="147"/>
      <c r="D40" s="21" t="s">
        <v>57</v>
      </c>
      <c r="E40" s="23">
        <f>E37*E$16</f>
        <v>175000.00000000003</v>
      </c>
      <c r="F40" s="23">
        <f t="shared" ref="F40:N40" si="17">F37*F$16</f>
        <v>175000</v>
      </c>
      <c r="G40" s="23">
        <f t="shared" si="17"/>
        <v>175000.00000000003</v>
      </c>
      <c r="H40" s="23">
        <f t="shared" si="17"/>
        <v>175000</v>
      </c>
      <c r="I40" s="23">
        <f t="shared" si="17"/>
        <v>175000</v>
      </c>
      <c r="J40" s="23">
        <f t="shared" si="17"/>
        <v>175000.00000000003</v>
      </c>
      <c r="K40" s="23">
        <f t="shared" si="17"/>
        <v>175000</v>
      </c>
      <c r="L40" s="23">
        <f t="shared" si="17"/>
        <v>174999.99999999997</v>
      </c>
      <c r="M40" s="23">
        <f t="shared" si="17"/>
        <v>175000.00000000003</v>
      </c>
      <c r="N40" s="23">
        <f t="shared" si="17"/>
        <v>175000</v>
      </c>
    </row>
    <row r="41" spans="1:18" ht="15" customHeight="1" x14ac:dyDescent="0.45">
      <c r="B41" s="141"/>
      <c r="C41" s="147"/>
      <c r="D41" s="21" t="s">
        <v>58</v>
      </c>
      <c r="E41" s="23">
        <f>E40</f>
        <v>175000.00000000003</v>
      </c>
      <c r="F41" s="23">
        <f>E41+F40</f>
        <v>350000</v>
      </c>
      <c r="G41" s="23">
        <f t="shared" ref="G41:N41" si="18">F41+G40</f>
        <v>525000</v>
      </c>
      <c r="H41" s="23">
        <f t="shared" si="18"/>
        <v>700000</v>
      </c>
      <c r="I41" s="23">
        <f t="shared" si="18"/>
        <v>875000</v>
      </c>
      <c r="J41" s="23">
        <f t="shared" si="18"/>
        <v>1050000</v>
      </c>
      <c r="K41" s="23">
        <f t="shared" si="18"/>
        <v>1225000</v>
      </c>
      <c r="L41" s="23">
        <f t="shared" si="18"/>
        <v>1400000</v>
      </c>
      <c r="M41" s="23">
        <f t="shared" si="18"/>
        <v>1575000</v>
      </c>
      <c r="N41" s="23">
        <f t="shared" si="18"/>
        <v>1750000</v>
      </c>
    </row>
    <row r="42" spans="1:18" ht="15" customHeight="1" x14ac:dyDescent="0.45">
      <c r="B42" s="141"/>
      <c r="C42" s="148" t="s">
        <v>44</v>
      </c>
      <c r="D42" s="17" t="s">
        <v>55</v>
      </c>
      <c r="E42" s="18">
        <f>E36*E$16/$E$4</f>
        <v>0.17499999999999999</v>
      </c>
      <c r="F42" s="18">
        <f>F36*F$16/$E$4-E42</f>
        <v>0.20999999999999996</v>
      </c>
      <c r="G42" s="18">
        <f>G36*G$16/$E$4-F42-E42</f>
        <v>0.25200000000000039</v>
      </c>
      <c r="H42" s="18">
        <f>H36*H$16/$E$4-G42-F42-E42</f>
        <v>0.30239999999999917</v>
      </c>
      <c r="I42" s="18">
        <f>I36*I$16/$E$4-H42-G42-F42-E42</f>
        <v>0.36288000000000059</v>
      </c>
      <c r="J42" s="18">
        <f>J36*J$16/$E$4-I42-H42-G42-F42-E42</f>
        <v>0.43545599999999857</v>
      </c>
      <c r="K42" s="18">
        <f>K36*K$16/$E$4-J42-I42-H42-G42-F42-E42</f>
        <v>0.52254720000000265</v>
      </c>
      <c r="L42" s="18">
        <f>L36*L$16/$E$4-K42-J42-I42-H42-G42-F42-E42</f>
        <v>0.62705664000000061</v>
      </c>
      <c r="M42" s="18">
        <f>M36*M$16/$E$4-L42-K42-J42-I42-H42-G42-F42-E42</f>
        <v>0.75246796800000526</v>
      </c>
      <c r="N42" s="18">
        <f>N36*N$16/$E$4-M42-L42-K42-J42-I42-H42-G42-F42-E42</f>
        <v>0.90296156159998597</v>
      </c>
      <c r="R42" s="16"/>
    </row>
    <row r="43" spans="1:18" ht="15" customHeight="1" x14ac:dyDescent="0.45">
      <c r="B43" s="141"/>
      <c r="C43" s="146"/>
      <c r="D43" s="17" t="s">
        <v>56</v>
      </c>
      <c r="E43" s="19"/>
      <c r="F43" s="19"/>
      <c r="G43" s="19"/>
      <c r="H43" s="19"/>
      <c r="I43" s="44">
        <f>SUM(E42:I42)/5</f>
        <v>0.26045600000000002</v>
      </c>
      <c r="J43" s="19"/>
      <c r="K43" s="19"/>
      <c r="L43" s="19"/>
      <c r="M43" s="19"/>
      <c r="N43" s="19">
        <f>SUM(E42:N42)/10</f>
        <v>0.45427693695999932</v>
      </c>
      <c r="R43" s="13"/>
    </row>
    <row r="44" spans="1:18" ht="15" customHeight="1" x14ac:dyDescent="0.45">
      <c r="B44" s="141"/>
      <c r="C44" s="147"/>
      <c r="D44" s="21" t="s">
        <v>57</v>
      </c>
      <c r="E44" s="24">
        <f>E46</f>
        <v>175000.00000000003</v>
      </c>
      <c r="F44" s="24">
        <f>F46-E46</f>
        <v>209999.99999999991</v>
      </c>
      <c r="G44" s="24">
        <f t="shared" ref="G44:N44" si="19">G46-F46</f>
        <v>252000.00000000041</v>
      </c>
      <c r="H44" s="24">
        <f t="shared" si="19"/>
        <v>302399.9999999993</v>
      </c>
      <c r="I44" s="24">
        <f t="shared" si="19"/>
        <v>362880.00000000058</v>
      </c>
      <c r="J44" s="24">
        <f t="shared" si="19"/>
        <v>435455.99999999814</v>
      </c>
      <c r="K44" s="24">
        <f t="shared" si="19"/>
        <v>522547.20000000275</v>
      </c>
      <c r="L44" s="24">
        <f t="shared" si="19"/>
        <v>627056.6400000006</v>
      </c>
      <c r="M44" s="24">
        <f t="shared" si="19"/>
        <v>752467.968000005</v>
      </c>
      <c r="N44" s="24">
        <f t="shared" si="19"/>
        <v>902961.56159998663</v>
      </c>
    </row>
    <row r="45" spans="1:18" ht="15" customHeight="1" x14ac:dyDescent="0.45">
      <c r="B45" s="141"/>
      <c r="C45" s="147"/>
      <c r="D45" s="21" t="s">
        <v>59</v>
      </c>
      <c r="E45" s="24"/>
      <c r="F45" s="24"/>
      <c r="G45" s="24"/>
      <c r="H45" s="24"/>
      <c r="I45" s="24">
        <f>SUM(E44:I44)/5</f>
        <v>260456.00000000006</v>
      </c>
      <c r="J45" s="24"/>
      <c r="K45" s="24"/>
      <c r="L45" s="24"/>
      <c r="M45" s="24"/>
      <c r="N45" s="24">
        <f>SUM(E44:N44)/10</f>
        <v>454276.93695999932</v>
      </c>
    </row>
    <row r="46" spans="1:18" ht="15" customHeight="1" x14ac:dyDescent="0.45">
      <c r="B46" s="142"/>
      <c r="C46" s="147"/>
      <c r="D46" s="21" t="s">
        <v>58</v>
      </c>
      <c r="E46" s="23">
        <f t="shared" ref="E46:N46" si="20">E38*E$16</f>
        <v>175000.00000000003</v>
      </c>
      <c r="F46" s="23">
        <f t="shared" si="20"/>
        <v>384999.99999999994</v>
      </c>
      <c r="G46" s="23">
        <f t="shared" si="20"/>
        <v>637000.00000000035</v>
      </c>
      <c r="H46" s="23">
        <f t="shared" si="20"/>
        <v>939399.99999999965</v>
      </c>
      <c r="I46" s="23">
        <f t="shared" si="20"/>
        <v>1302280.0000000002</v>
      </c>
      <c r="J46" s="23">
        <f t="shared" si="20"/>
        <v>1737735.9999999984</v>
      </c>
      <c r="K46" s="23">
        <f t="shared" si="20"/>
        <v>2260283.2000000011</v>
      </c>
      <c r="L46" s="23">
        <f t="shared" si="20"/>
        <v>2887339.8400000017</v>
      </c>
      <c r="M46" s="23">
        <f t="shared" si="20"/>
        <v>3639807.8080000067</v>
      </c>
      <c r="N46" s="23">
        <f t="shared" si="20"/>
        <v>4542769.3695999933</v>
      </c>
    </row>
    <row r="47" spans="1:18" ht="15" customHeight="1" x14ac:dyDescent="0.45">
      <c r="A47" s="9"/>
      <c r="B47" s="4"/>
      <c r="C47" s="1"/>
      <c r="D47" s="53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9"/>
    </row>
    <row r="48" spans="1:18" ht="15" customHeight="1" x14ac:dyDescent="0.45">
      <c r="B48" s="151" t="s">
        <v>38</v>
      </c>
      <c r="C48" s="56" t="s">
        <v>33</v>
      </c>
      <c r="D48" s="57">
        <f>E8</f>
        <v>0.7</v>
      </c>
      <c r="E48" s="138" t="s">
        <v>3</v>
      </c>
      <c r="F48" s="138" t="s">
        <v>4</v>
      </c>
      <c r="G48" s="138" t="s">
        <v>5</v>
      </c>
      <c r="H48" s="138" t="s">
        <v>6</v>
      </c>
      <c r="I48" s="138" t="s">
        <v>7</v>
      </c>
      <c r="J48" s="138" t="s">
        <v>8</v>
      </c>
      <c r="K48" s="138" t="s">
        <v>9</v>
      </c>
      <c r="L48" s="138" t="s">
        <v>10</v>
      </c>
      <c r="M48" s="138" t="s">
        <v>11</v>
      </c>
      <c r="N48" s="138" t="s">
        <v>12</v>
      </c>
    </row>
    <row r="49" spans="2:18" ht="15" customHeight="1" x14ac:dyDescent="0.45">
      <c r="B49" s="152"/>
      <c r="C49" s="46" t="s">
        <v>21</v>
      </c>
      <c r="D49" s="34" t="str">
        <f>"10 BTC / "&amp;TEXT($E$4*10, "$###0.00,,")&amp;"M USD"</f>
        <v>10 BTC / $1.00M USD</v>
      </c>
      <c r="E49" s="139"/>
      <c r="F49" s="139"/>
      <c r="G49" s="139"/>
      <c r="H49" s="139"/>
      <c r="I49" s="139"/>
      <c r="J49" s="139"/>
      <c r="K49" s="139"/>
      <c r="L49" s="139"/>
      <c r="M49" s="139"/>
      <c r="N49" s="139"/>
    </row>
    <row r="50" spans="2:18" ht="15" customHeight="1" x14ac:dyDescent="0.45">
      <c r="B50" s="147" t="s">
        <v>16</v>
      </c>
      <c r="C50" s="146" t="s">
        <v>41</v>
      </c>
      <c r="D50" s="17" t="s">
        <v>84</v>
      </c>
      <c r="E50" s="18">
        <f>E$24*$D48-E34</f>
        <v>8.7499999999999967E-2</v>
      </c>
      <c r="F50" s="18">
        <f t="shared" ref="F50:N50" si="21">F$24*$D48-F34</f>
        <v>7.2916666666666699E-2</v>
      </c>
      <c r="G50" s="18">
        <f t="shared" si="21"/>
        <v>6.0763888888888826E-2</v>
      </c>
      <c r="H50" s="18">
        <f t="shared" si="21"/>
        <v>5.0636574074074125E-2</v>
      </c>
      <c r="I50" s="18">
        <f t="shared" si="21"/>
        <v>4.2197145061728364E-2</v>
      </c>
      <c r="J50" s="18">
        <f t="shared" si="21"/>
        <v>3.5164287551440437E-2</v>
      </c>
      <c r="K50" s="18">
        <f t="shared" si="21"/>
        <v>2.9303572959533564E-2</v>
      </c>
      <c r="L50" s="18">
        <f t="shared" si="21"/>
        <v>2.4419644132944639E-2</v>
      </c>
      <c r="M50" s="18">
        <f t="shared" si="21"/>
        <v>2.0349703444120446E-2</v>
      </c>
      <c r="N50" s="18">
        <f t="shared" si="21"/>
        <v>1.6958086203433861E-2</v>
      </c>
      <c r="R50" s="13"/>
    </row>
    <row r="51" spans="2:18" ht="15" customHeight="1" x14ac:dyDescent="0.45">
      <c r="B51" s="147"/>
      <c r="C51" s="146"/>
      <c r="D51" s="17" t="s">
        <v>85</v>
      </c>
      <c r="E51" s="18"/>
      <c r="F51" s="18"/>
      <c r="G51" s="18"/>
      <c r="H51" s="18"/>
      <c r="I51" s="102">
        <f>SUM(E50:I50)/5</f>
        <v>6.2802854938271604E-2</v>
      </c>
      <c r="J51" s="18"/>
      <c r="K51" s="18"/>
      <c r="L51" s="18"/>
      <c r="M51" s="18"/>
      <c r="N51" s="19">
        <f>SUM(E50:N50)/10</f>
        <v>4.4020956898283094E-2</v>
      </c>
      <c r="R51" s="13"/>
    </row>
    <row r="52" spans="2:18" ht="15" customHeight="1" x14ac:dyDescent="0.45">
      <c r="B52" s="147"/>
      <c r="C52" s="146"/>
      <c r="D52" s="17" t="s">
        <v>53</v>
      </c>
      <c r="E52" s="18">
        <f>E$18*(E50/E$20)</f>
        <v>8.7499999999999967E-2</v>
      </c>
      <c r="F52" s="18">
        <f t="shared" ref="F52:N52" si="22">F$18*(F50/F$20)</f>
        <v>0.16041666666666671</v>
      </c>
      <c r="G52" s="18">
        <f t="shared" si="22"/>
        <v>0.22118055555555541</v>
      </c>
      <c r="H52" s="18">
        <f t="shared" si="22"/>
        <v>0.27181712962962984</v>
      </c>
      <c r="I52" s="18">
        <f t="shared" si="22"/>
        <v>0.3140142746913579</v>
      </c>
      <c r="J52" s="18">
        <f t="shared" si="22"/>
        <v>0.34917856224279908</v>
      </c>
      <c r="K52" s="18">
        <f t="shared" si="22"/>
        <v>0.37848213520233159</v>
      </c>
      <c r="L52" s="18">
        <f t="shared" si="22"/>
        <v>0.40290177933527632</v>
      </c>
      <c r="M52" s="18">
        <f t="shared" si="22"/>
        <v>0.42325148277939556</v>
      </c>
      <c r="N52" s="18">
        <f t="shared" si="22"/>
        <v>0.44020956898283192</v>
      </c>
    </row>
    <row r="53" spans="2:18" ht="15" customHeight="1" x14ac:dyDescent="0.45">
      <c r="B53" s="147"/>
      <c r="C53" s="147"/>
      <c r="D53" s="21" t="s">
        <v>57</v>
      </c>
      <c r="E53" s="22">
        <f>10*E50</f>
        <v>0.87499999999999967</v>
      </c>
      <c r="F53" s="22">
        <f t="shared" ref="F53:N53" si="23">10*F50</f>
        <v>0.72916666666666696</v>
      </c>
      <c r="G53" s="22">
        <f t="shared" si="23"/>
        <v>0.60763888888888828</v>
      </c>
      <c r="H53" s="22">
        <f t="shared" si="23"/>
        <v>0.50636574074074125</v>
      </c>
      <c r="I53" s="22">
        <f t="shared" si="23"/>
        <v>0.42197145061728364</v>
      </c>
      <c r="J53" s="22">
        <f t="shared" si="23"/>
        <v>0.35164287551440437</v>
      </c>
      <c r="K53" s="22">
        <f t="shared" si="23"/>
        <v>0.29303572959533564</v>
      </c>
      <c r="L53" s="22">
        <f t="shared" si="23"/>
        <v>0.2441964413294464</v>
      </c>
      <c r="M53" s="22">
        <f t="shared" si="23"/>
        <v>0.20349703444120446</v>
      </c>
      <c r="N53" s="22">
        <f t="shared" si="23"/>
        <v>0.16958086203433861</v>
      </c>
      <c r="R53" s="13"/>
    </row>
    <row r="54" spans="2:18" ht="15" customHeight="1" x14ac:dyDescent="0.45">
      <c r="B54" s="147"/>
      <c r="C54" s="147"/>
      <c r="D54" s="21" t="s">
        <v>58</v>
      </c>
      <c r="E54" s="22">
        <f>10*E52</f>
        <v>0.87499999999999967</v>
      </c>
      <c r="F54" s="22">
        <f>10*F52</f>
        <v>1.604166666666667</v>
      </c>
      <c r="G54" s="22">
        <f>10*G52</f>
        <v>2.211805555555554</v>
      </c>
      <c r="H54" s="22">
        <f t="shared" ref="H54:N54" si="24">10*H52</f>
        <v>2.7181712962962985</v>
      </c>
      <c r="I54" s="22">
        <f t="shared" si="24"/>
        <v>3.140142746913579</v>
      </c>
      <c r="J54" s="22">
        <f t="shared" si="24"/>
        <v>3.4917856224279911</v>
      </c>
      <c r="K54" s="22">
        <f t="shared" si="24"/>
        <v>3.7848213520233158</v>
      </c>
      <c r="L54" s="22">
        <f t="shared" si="24"/>
        <v>4.0290177933527636</v>
      </c>
      <c r="M54" s="22">
        <f t="shared" si="24"/>
        <v>4.2325148277939553</v>
      </c>
      <c r="N54" s="22">
        <f t="shared" si="24"/>
        <v>4.402095689828319</v>
      </c>
    </row>
    <row r="55" spans="2:18" ht="15" customHeight="1" x14ac:dyDescent="0.45">
      <c r="B55" s="147"/>
      <c r="C55" s="148" t="s">
        <v>45</v>
      </c>
      <c r="D55" s="17" t="s">
        <v>55</v>
      </c>
      <c r="E55" s="18">
        <f>E50*E$16/$E$4</f>
        <v>0.10499999999999997</v>
      </c>
      <c r="F55" s="18">
        <f t="shared" ref="F55:N55" si="25">F50*F$16/$E$4</f>
        <v>0.10500000000000005</v>
      </c>
      <c r="G55" s="18">
        <f t="shared" si="25"/>
        <v>0.10499999999999989</v>
      </c>
      <c r="H55" s="18">
        <f t="shared" si="25"/>
        <v>0.10500000000000011</v>
      </c>
      <c r="I55" s="18">
        <f t="shared" si="25"/>
        <v>0.10499999999999993</v>
      </c>
      <c r="J55" s="18">
        <f t="shared" si="25"/>
        <v>0.10500000000000033</v>
      </c>
      <c r="K55" s="18">
        <f t="shared" si="25"/>
        <v>0.10499999999999986</v>
      </c>
      <c r="L55" s="18">
        <f t="shared" si="25"/>
        <v>0.10499999999999986</v>
      </c>
      <c r="M55" s="18">
        <f t="shared" si="25"/>
        <v>0.1049999999999994</v>
      </c>
      <c r="N55" s="18">
        <f t="shared" si="25"/>
        <v>0.10500000000000036</v>
      </c>
      <c r="R55" s="13"/>
    </row>
    <row r="56" spans="2:18" ht="15" customHeight="1" x14ac:dyDescent="0.45">
      <c r="B56" s="147"/>
      <c r="C56" s="147"/>
      <c r="D56" s="21" t="s">
        <v>57</v>
      </c>
      <c r="E56" s="23">
        <f t="shared" ref="E56:N56" si="26">E53*E$16</f>
        <v>104999.99999999996</v>
      </c>
      <c r="F56" s="23">
        <f t="shared" si="26"/>
        <v>105000.00000000004</v>
      </c>
      <c r="G56" s="23">
        <f t="shared" si="26"/>
        <v>104999.9999999999</v>
      </c>
      <c r="H56" s="23">
        <f t="shared" si="26"/>
        <v>105000.0000000001</v>
      </c>
      <c r="I56" s="23">
        <f t="shared" si="26"/>
        <v>104999.99999999993</v>
      </c>
      <c r="J56" s="23">
        <f t="shared" si="26"/>
        <v>105000.00000000033</v>
      </c>
      <c r="K56" s="23">
        <f t="shared" si="26"/>
        <v>104999.99999999984</v>
      </c>
      <c r="L56" s="23">
        <f t="shared" si="26"/>
        <v>104999.99999999985</v>
      </c>
      <c r="M56" s="23">
        <f t="shared" si="26"/>
        <v>104999.9999999994</v>
      </c>
      <c r="N56" s="23">
        <f t="shared" si="26"/>
        <v>105000.00000000036</v>
      </c>
      <c r="R56" s="13"/>
    </row>
    <row r="57" spans="2:18" ht="15" customHeight="1" x14ac:dyDescent="0.45">
      <c r="B57" s="147"/>
      <c r="C57" s="147"/>
      <c r="D57" s="21" t="s">
        <v>58</v>
      </c>
      <c r="E57" s="23">
        <f>E56</f>
        <v>104999.99999999996</v>
      </c>
      <c r="F57" s="23">
        <f>E57+F56</f>
        <v>210000</v>
      </c>
      <c r="G57" s="23">
        <f t="shared" ref="G57:N57" si="27">F57+G56</f>
        <v>314999.99999999988</v>
      </c>
      <c r="H57" s="23">
        <f t="shared" si="27"/>
        <v>420000</v>
      </c>
      <c r="I57" s="23">
        <f t="shared" si="27"/>
        <v>524999.99999999988</v>
      </c>
      <c r="J57" s="23">
        <f t="shared" si="27"/>
        <v>630000.00000000023</v>
      </c>
      <c r="K57" s="23">
        <f t="shared" si="27"/>
        <v>735000.00000000012</v>
      </c>
      <c r="L57" s="23">
        <f t="shared" si="27"/>
        <v>840000</v>
      </c>
      <c r="M57" s="23">
        <f t="shared" si="27"/>
        <v>944999.99999999942</v>
      </c>
      <c r="N57" s="23">
        <f t="shared" si="27"/>
        <v>1049999.9999999998</v>
      </c>
      <c r="R57" s="13"/>
    </row>
    <row r="58" spans="2:18" ht="15" customHeight="1" x14ac:dyDescent="0.45">
      <c r="B58" s="147"/>
      <c r="C58" s="148" t="s">
        <v>44</v>
      </c>
      <c r="D58" s="17" t="s">
        <v>55</v>
      </c>
      <c r="E58" s="18">
        <f>E52*E$16/$E$4</f>
        <v>0.10499999999999997</v>
      </c>
      <c r="F58" s="18">
        <f>F52*F$16/$E$4-E58</f>
        <v>0.12600000000000011</v>
      </c>
      <c r="G58" s="18">
        <f>G52*G$16/$E$4-F58-E58</f>
        <v>0.15119999999999961</v>
      </c>
      <c r="H58" s="18">
        <f>H52*H$16/$E$4-G58-F58-E58</f>
        <v>0.18144000000000077</v>
      </c>
      <c r="I58" s="18">
        <f>I52*I$16/$E$4-H58-G58-F58-E58</f>
        <v>0.2177279999999992</v>
      </c>
      <c r="J58" s="18">
        <f>J52*J$16/$E$4-I58-H58-G58-F58-E58</f>
        <v>0.2612736000000026</v>
      </c>
      <c r="K58" s="18">
        <f>K52*K$16/$E$4-J58-I58-H58-G58-F58-E58</f>
        <v>0.31352831999999653</v>
      </c>
      <c r="L58" s="18">
        <f>L52*L$16/$E$4-K58-J58-I58-H58-G58-F58-E58</f>
        <v>0.37623398399999974</v>
      </c>
      <c r="M58" s="18">
        <f>M52*M$16/$E$4-L58-K58-J58-I58-H58-G58-F58-E58</f>
        <v>0.45148078079999276</v>
      </c>
      <c r="N58" s="18">
        <f>N52*N$16/$E$4-M58-L58-K58-J58-I58-H58-G58-F58-E58</f>
        <v>0.54177693696001405</v>
      </c>
      <c r="R58" s="13"/>
    </row>
    <row r="59" spans="2:18" ht="15" customHeight="1" x14ac:dyDescent="0.45">
      <c r="B59" s="147"/>
      <c r="C59" s="146"/>
      <c r="D59" s="17" t="s">
        <v>56</v>
      </c>
      <c r="E59" s="19"/>
      <c r="F59" s="19"/>
      <c r="G59" s="19"/>
      <c r="H59" s="19"/>
      <c r="I59" s="19">
        <f>SUM(E58:I58)/5</f>
        <v>0.15627359999999993</v>
      </c>
      <c r="J59" s="19"/>
      <c r="K59" s="19"/>
      <c r="L59" s="19"/>
      <c r="M59" s="19"/>
      <c r="N59" s="19">
        <f>SUM(E58:N58)/10</f>
        <v>0.27256616217600055</v>
      </c>
      <c r="R59" s="13"/>
    </row>
    <row r="60" spans="2:18" ht="15" customHeight="1" x14ac:dyDescent="0.45">
      <c r="B60" s="147"/>
      <c r="C60" s="147"/>
      <c r="D60" s="21" t="s">
        <v>57</v>
      </c>
      <c r="E60" s="24">
        <f>E62</f>
        <v>104999.99999999996</v>
      </c>
      <c r="F60" s="24">
        <f>F62-E62</f>
        <v>126000.00000000007</v>
      </c>
      <c r="G60" s="24">
        <f t="shared" ref="G60:N60" si="28">G62-F62</f>
        <v>151199.99999999968</v>
      </c>
      <c r="H60" s="24">
        <f t="shared" si="28"/>
        <v>181440.00000000076</v>
      </c>
      <c r="I60" s="24">
        <f t="shared" si="28"/>
        <v>217727.99999999919</v>
      </c>
      <c r="J60" s="24">
        <f t="shared" si="28"/>
        <v>261273.60000000265</v>
      </c>
      <c r="K60" s="24">
        <f t="shared" si="28"/>
        <v>313528.31999999646</v>
      </c>
      <c r="L60" s="24">
        <f t="shared" si="28"/>
        <v>376233.98399999994</v>
      </c>
      <c r="M60" s="24">
        <f t="shared" si="28"/>
        <v>451480.78079999285</v>
      </c>
      <c r="N60" s="24">
        <f t="shared" si="28"/>
        <v>541776.93696001405</v>
      </c>
      <c r="R60" s="13"/>
    </row>
    <row r="61" spans="2:18" ht="15" customHeight="1" x14ac:dyDescent="0.45">
      <c r="B61" s="147"/>
      <c r="C61" s="147"/>
      <c r="D61" s="21" t="s">
        <v>59</v>
      </c>
      <c r="E61" s="24"/>
      <c r="F61" s="24"/>
      <c r="G61" s="24"/>
      <c r="H61" s="24"/>
      <c r="I61" s="24">
        <f>SUM(E60:I60)/5</f>
        <v>156273.59999999992</v>
      </c>
      <c r="J61" s="24"/>
      <c r="K61" s="24"/>
      <c r="L61" s="24"/>
      <c r="M61" s="24"/>
      <c r="N61" s="24">
        <f>SUM(E60:N60)/10</f>
        <v>272566.16217600054</v>
      </c>
      <c r="R61" s="13"/>
    </row>
    <row r="62" spans="2:18" ht="15" customHeight="1" x14ac:dyDescent="0.45">
      <c r="B62" s="147"/>
      <c r="C62" s="147"/>
      <c r="D62" s="21" t="s">
        <v>58</v>
      </c>
      <c r="E62" s="23">
        <f t="shared" ref="E62:N62" si="29">E54*E$16</f>
        <v>104999.99999999996</v>
      </c>
      <c r="F62" s="23">
        <f t="shared" si="29"/>
        <v>231000.00000000003</v>
      </c>
      <c r="G62" s="23">
        <f t="shared" si="29"/>
        <v>382199.99999999971</v>
      </c>
      <c r="H62" s="23">
        <f t="shared" si="29"/>
        <v>563640.00000000047</v>
      </c>
      <c r="I62" s="23">
        <f t="shared" si="29"/>
        <v>781367.99999999965</v>
      </c>
      <c r="J62" s="23">
        <f t="shared" si="29"/>
        <v>1042641.6000000023</v>
      </c>
      <c r="K62" s="23">
        <f t="shared" si="29"/>
        <v>1356169.9199999988</v>
      </c>
      <c r="L62" s="23">
        <f t="shared" si="29"/>
        <v>1732403.9039999987</v>
      </c>
      <c r="M62" s="23">
        <f t="shared" si="29"/>
        <v>2183884.6847999915</v>
      </c>
      <c r="N62" s="23">
        <f t="shared" si="29"/>
        <v>2725661.6217600056</v>
      </c>
      <c r="R62" s="13"/>
    </row>
    <row r="63" spans="2:18" ht="15" customHeight="1" x14ac:dyDescent="0.45">
      <c r="B63" s="147" t="s">
        <v>17</v>
      </c>
      <c r="C63" s="146" t="s">
        <v>41</v>
      </c>
      <c r="D63" s="17" t="s">
        <v>55</v>
      </c>
      <c r="E63" s="18">
        <f>E$26*$D48</f>
        <v>1.9833333333333335E-2</v>
      </c>
      <c r="F63" s="18">
        <f t="shared" ref="F63:N63" si="30">F$26*$D48</f>
        <v>1.886111111111111E-2</v>
      </c>
      <c r="G63" s="18">
        <f t="shared" si="30"/>
        <v>1.8050925925925925E-2</v>
      </c>
      <c r="H63" s="18">
        <f t="shared" si="30"/>
        <v>1.7375771604938271E-2</v>
      </c>
      <c r="I63" s="18">
        <f t="shared" si="30"/>
        <v>1.6813143004115225E-2</v>
      </c>
      <c r="J63" s="18">
        <f t="shared" si="30"/>
        <v>1.6344285836762687E-2</v>
      </c>
      <c r="K63" s="18">
        <f t="shared" si="30"/>
        <v>1.5953571530635573E-2</v>
      </c>
      <c r="L63" s="18">
        <f t="shared" si="30"/>
        <v>1.5627976275529643E-2</v>
      </c>
      <c r="M63" s="18">
        <f t="shared" si="30"/>
        <v>1.5356646896274705E-2</v>
      </c>
      <c r="N63" s="18">
        <f t="shared" si="30"/>
        <v>1.5130539080228919E-2</v>
      </c>
      <c r="R63" s="13"/>
    </row>
    <row r="64" spans="2:18" ht="15" customHeight="1" x14ac:dyDescent="0.45">
      <c r="B64" s="147"/>
      <c r="C64" s="146"/>
      <c r="D64" s="17" t="s">
        <v>56</v>
      </c>
      <c r="E64" s="18"/>
      <c r="F64" s="18"/>
      <c r="G64" s="18"/>
      <c r="H64" s="18"/>
      <c r="I64" s="102">
        <f>SUM(E63:I63)/5</f>
        <v>1.8186856995884772E-2</v>
      </c>
      <c r="J64" s="19"/>
      <c r="K64" s="19"/>
      <c r="L64" s="19"/>
      <c r="M64" s="19"/>
      <c r="N64" s="19">
        <f>SUM(E63:N63)/10</f>
        <v>1.6934730459885538E-2</v>
      </c>
      <c r="R64" s="13"/>
    </row>
    <row r="65" spans="2:18" ht="15" customHeight="1" x14ac:dyDescent="0.45">
      <c r="B65" s="147"/>
      <c r="C65" s="146"/>
      <c r="D65" s="17" t="s">
        <v>53</v>
      </c>
      <c r="E65" s="18">
        <f t="shared" ref="E65:N65" si="31">E$28*$D48</f>
        <v>1.9833333333333335E-2</v>
      </c>
      <c r="F65" s="18">
        <f t="shared" si="31"/>
        <v>3.8694444444444441E-2</v>
      </c>
      <c r="G65" s="18">
        <f t="shared" si="31"/>
        <v>5.6745370370370363E-2</v>
      </c>
      <c r="H65" s="18">
        <f t="shared" si="31"/>
        <v>7.4121141975308627E-2</v>
      </c>
      <c r="I65" s="18">
        <f t="shared" si="31"/>
        <v>9.0934284979423866E-2</v>
      </c>
      <c r="J65" s="18">
        <f t="shared" si="31"/>
        <v>0.10727857081618655</v>
      </c>
      <c r="K65" s="18">
        <f t="shared" si="31"/>
        <v>0.12323214234682212</v>
      </c>
      <c r="L65" s="18">
        <f t="shared" si="31"/>
        <v>0.13886011862235176</v>
      </c>
      <c r="M65" s="18">
        <f t="shared" si="31"/>
        <v>0.15421676551862645</v>
      </c>
      <c r="N65" s="18">
        <f t="shared" si="31"/>
        <v>0.16934730459885539</v>
      </c>
      <c r="R65" s="13"/>
    </row>
    <row r="66" spans="2:18" ht="15" customHeight="1" x14ac:dyDescent="0.45">
      <c r="B66" s="147"/>
      <c r="C66" s="147"/>
      <c r="D66" s="21" t="s">
        <v>57</v>
      </c>
      <c r="E66" s="22">
        <f t="shared" ref="E66:N66" si="32">10*E63</f>
        <v>0.19833333333333336</v>
      </c>
      <c r="F66" s="22">
        <f t="shared" si="32"/>
        <v>0.18861111111111109</v>
      </c>
      <c r="G66" s="22">
        <f t="shared" si="32"/>
        <v>0.18050925925925926</v>
      </c>
      <c r="H66" s="22">
        <f t="shared" si="32"/>
        <v>0.17375771604938273</v>
      </c>
      <c r="I66" s="22">
        <f t="shared" si="32"/>
        <v>0.16813143004115225</v>
      </c>
      <c r="J66" s="22">
        <f t="shared" si="32"/>
        <v>0.16344285836762687</v>
      </c>
      <c r="K66" s="22">
        <f t="shared" si="32"/>
        <v>0.15953571530635574</v>
      </c>
      <c r="L66" s="22">
        <f t="shared" si="32"/>
        <v>0.15627976275529643</v>
      </c>
      <c r="M66" s="22">
        <f t="shared" si="32"/>
        <v>0.15356646896274706</v>
      </c>
      <c r="N66" s="22">
        <f t="shared" si="32"/>
        <v>0.15130539080228919</v>
      </c>
      <c r="R66" s="13"/>
    </row>
    <row r="67" spans="2:18" ht="15" customHeight="1" x14ac:dyDescent="0.45">
      <c r="B67" s="147"/>
      <c r="C67" s="147"/>
      <c r="D67" s="21" t="s">
        <v>58</v>
      </c>
      <c r="E67" s="22">
        <f>10*E65</f>
        <v>0.19833333333333336</v>
      </c>
      <c r="F67" s="22">
        <f t="shared" ref="F67:N67" si="33">10*F65</f>
        <v>0.38694444444444442</v>
      </c>
      <c r="G67" s="22">
        <f t="shared" si="33"/>
        <v>0.56745370370370363</v>
      </c>
      <c r="H67" s="22">
        <f t="shared" si="33"/>
        <v>0.74121141975308624</v>
      </c>
      <c r="I67" s="22">
        <f t="shared" si="33"/>
        <v>0.90934284979423863</v>
      </c>
      <c r="J67" s="22">
        <f t="shared" si="33"/>
        <v>1.0727857081618655</v>
      </c>
      <c r="K67" s="22">
        <f t="shared" si="33"/>
        <v>1.2323214234682212</v>
      </c>
      <c r="L67" s="22">
        <f t="shared" si="33"/>
        <v>1.3886011862235175</v>
      </c>
      <c r="M67" s="22">
        <f t="shared" si="33"/>
        <v>1.5421676551862644</v>
      </c>
      <c r="N67" s="22">
        <f t="shared" si="33"/>
        <v>1.6934730459885539</v>
      </c>
    </row>
    <row r="68" spans="2:18" ht="15" customHeight="1" x14ac:dyDescent="0.45">
      <c r="B68" s="147"/>
      <c r="C68" s="148" t="s">
        <v>45</v>
      </c>
      <c r="D68" s="17" t="s">
        <v>55</v>
      </c>
      <c r="E68" s="18">
        <f>E63*E$16/$E$4</f>
        <v>2.3800000000000002E-2</v>
      </c>
      <c r="F68" s="18">
        <f t="shared" ref="F68:N68" si="34">F63*F$16/$E$4</f>
        <v>2.716E-2</v>
      </c>
      <c r="G68" s="18">
        <f t="shared" si="34"/>
        <v>3.1191999999999998E-2</v>
      </c>
      <c r="H68" s="18">
        <f t="shared" si="34"/>
        <v>3.6030399999999997E-2</v>
      </c>
      <c r="I68" s="18">
        <f t="shared" si="34"/>
        <v>4.1836479999999995E-2</v>
      </c>
      <c r="J68" s="18">
        <f t="shared" si="34"/>
        <v>4.8803776E-2</v>
      </c>
      <c r="K68" s="18">
        <f t="shared" si="34"/>
        <v>5.71645312E-2</v>
      </c>
      <c r="L68" s="18">
        <f t="shared" si="34"/>
        <v>6.719743743999998E-2</v>
      </c>
      <c r="M68" s="18">
        <f t="shared" si="34"/>
        <v>7.923692492800001E-2</v>
      </c>
      <c r="N68" s="18">
        <f t="shared" si="34"/>
        <v>9.3684309913599995E-2</v>
      </c>
    </row>
    <row r="69" spans="2:18" ht="15" customHeight="1" x14ac:dyDescent="0.45">
      <c r="B69" s="147"/>
      <c r="C69" s="146"/>
      <c r="D69" s="17" t="s">
        <v>56</v>
      </c>
      <c r="E69" s="18"/>
      <c r="F69" s="18"/>
      <c r="G69" s="18"/>
      <c r="H69" s="18"/>
      <c r="I69" s="19">
        <f>SUM(E68:I68)/5</f>
        <v>3.2003775999999998E-2</v>
      </c>
      <c r="J69" s="19"/>
      <c r="K69" s="19"/>
      <c r="L69" s="19"/>
      <c r="M69" s="19"/>
      <c r="N69" s="19">
        <f>SUM(E68:N68)/10</f>
        <v>5.0610585948159995E-2</v>
      </c>
    </row>
    <row r="70" spans="2:18" ht="15" customHeight="1" x14ac:dyDescent="0.45">
      <c r="B70" s="147"/>
      <c r="C70" s="147"/>
      <c r="D70" s="21" t="s">
        <v>57</v>
      </c>
      <c r="E70" s="25">
        <f t="shared" ref="E70:N70" si="35">E66*E$16</f>
        <v>23800.000000000004</v>
      </c>
      <c r="F70" s="25">
        <f t="shared" si="35"/>
        <v>27159.999999999996</v>
      </c>
      <c r="G70" s="25">
        <f t="shared" si="35"/>
        <v>31192</v>
      </c>
      <c r="H70" s="25">
        <f t="shared" si="35"/>
        <v>36030.400000000001</v>
      </c>
      <c r="I70" s="25">
        <f t="shared" si="35"/>
        <v>41836.479999999996</v>
      </c>
      <c r="J70" s="25">
        <f t="shared" si="35"/>
        <v>48803.775999999998</v>
      </c>
      <c r="K70" s="25">
        <f t="shared" si="35"/>
        <v>57164.531200000005</v>
      </c>
      <c r="L70" s="25">
        <f t="shared" si="35"/>
        <v>67197.437439999994</v>
      </c>
      <c r="M70" s="25">
        <f t="shared" si="35"/>
        <v>79236.924928000008</v>
      </c>
      <c r="N70" s="25">
        <f t="shared" si="35"/>
        <v>93684.309913599995</v>
      </c>
    </row>
    <row r="71" spans="2:18" ht="15" customHeight="1" x14ac:dyDescent="0.45">
      <c r="B71" s="147"/>
      <c r="C71" s="147"/>
      <c r="D71" s="21" t="s">
        <v>59</v>
      </c>
      <c r="E71" s="26"/>
      <c r="F71" s="26"/>
      <c r="G71" s="26"/>
      <c r="H71" s="26"/>
      <c r="I71" s="25">
        <f>SUM(E70:I70)/5</f>
        <v>32003.776000000002</v>
      </c>
      <c r="J71" s="25"/>
      <c r="K71" s="25"/>
      <c r="L71" s="25"/>
      <c r="M71" s="25"/>
      <c r="N71" s="25">
        <f>SUM(E70:N70)/10</f>
        <v>50610.585948160006</v>
      </c>
    </row>
    <row r="72" spans="2:18" ht="15" customHeight="1" x14ac:dyDescent="0.45">
      <c r="B72" s="147"/>
      <c r="C72" s="147"/>
      <c r="D72" s="21" t="s">
        <v>58</v>
      </c>
      <c r="E72" s="26">
        <f>E70</f>
        <v>23800.000000000004</v>
      </c>
      <c r="F72" s="26">
        <f t="shared" ref="F72:N72" si="36">E72+F70</f>
        <v>50960</v>
      </c>
      <c r="G72" s="26">
        <f t="shared" si="36"/>
        <v>82152</v>
      </c>
      <c r="H72" s="26">
        <f t="shared" si="36"/>
        <v>118182.39999999999</v>
      </c>
      <c r="I72" s="26">
        <f t="shared" si="36"/>
        <v>160018.88</v>
      </c>
      <c r="J72" s="26">
        <f t="shared" si="36"/>
        <v>208822.65600000002</v>
      </c>
      <c r="K72" s="26">
        <f t="shared" si="36"/>
        <v>265987.18720000004</v>
      </c>
      <c r="L72" s="26">
        <f t="shared" si="36"/>
        <v>333184.62464000005</v>
      </c>
      <c r="M72" s="26">
        <f t="shared" si="36"/>
        <v>412421.54956800007</v>
      </c>
      <c r="N72" s="26">
        <f t="shared" si="36"/>
        <v>506105.85948160006</v>
      </c>
    </row>
    <row r="73" spans="2:18" ht="15" customHeight="1" x14ac:dyDescent="0.45">
      <c r="B73" s="147"/>
      <c r="C73" s="148" t="s">
        <v>44</v>
      </c>
      <c r="D73" s="17" t="s">
        <v>55</v>
      </c>
      <c r="E73" s="18">
        <f>E65*E$16/$E$4</f>
        <v>2.3800000000000002E-2</v>
      </c>
      <c r="F73" s="18">
        <f>F65*F$16/$E$4-E73</f>
        <v>3.191999999999999E-2</v>
      </c>
      <c r="G73" s="18">
        <f>G65*G$16/$E$4-F73-E73</f>
        <v>4.2335999999999999E-2</v>
      </c>
      <c r="H73" s="18">
        <f>H65*H$16/$E$4-G73-F73-E73</f>
        <v>5.5641599999999972E-2</v>
      </c>
      <c r="I73" s="18">
        <f>I65*I$16/$E$4-H73-G73-F73-E73</f>
        <v>7.2576000000000085E-2</v>
      </c>
      <c r="J73" s="18">
        <f>J65*J$16/$E$4-I73-H73-G73-F73-E73</f>
        <v>9.4058495999999991E-2</v>
      </c>
      <c r="K73" s="18">
        <f>K65*K$16/$E$4-J73-I73-H73-G73-F73-E73</f>
        <v>0.12123095039999991</v>
      </c>
      <c r="L73" s="18">
        <f>L65*L$16/$E$4-K73-J73-I73-H73-G73-F73-E73</f>
        <v>0.15551004671999996</v>
      </c>
      <c r="M73" s="18">
        <f>M65*M$16/$E$4-L73-K73-J73-I73-H73-G73-F73-E73</f>
        <v>0.1986515435520001</v>
      </c>
      <c r="N73" s="18">
        <f>N65*N$16/$E$4-M73-L73-K73-J73-I73-H73-G73-F73-E73</f>
        <v>0.25282923724799999</v>
      </c>
    </row>
    <row r="74" spans="2:18" ht="15" customHeight="1" x14ac:dyDescent="0.45">
      <c r="B74" s="147"/>
      <c r="C74" s="146"/>
      <c r="D74" s="17" t="s">
        <v>56</v>
      </c>
      <c r="E74" s="19"/>
      <c r="F74" s="19"/>
      <c r="G74" s="19"/>
      <c r="H74" s="19"/>
      <c r="I74" s="19">
        <f>SUM(E73:I73)/5</f>
        <v>4.5254720000000012E-2</v>
      </c>
      <c r="J74" s="19"/>
      <c r="K74" s="19"/>
      <c r="L74" s="19"/>
      <c r="M74" s="19"/>
      <c r="N74" s="19">
        <f>SUM(E73:N73)/10</f>
        <v>0.104855387392</v>
      </c>
    </row>
    <row r="75" spans="2:18" ht="15" customHeight="1" x14ac:dyDescent="0.45">
      <c r="B75" s="147"/>
      <c r="C75" s="147"/>
      <c r="D75" s="21" t="s">
        <v>57</v>
      </c>
      <c r="E75" s="25">
        <f>E77</f>
        <v>23800.000000000004</v>
      </c>
      <c r="F75" s="25">
        <f>F77-E77</f>
        <v>31919.999999999996</v>
      </c>
      <c r="G75" s="25">
        <f>G77-F77</f>
        <v>42335.999999999985</v>
      </c>
      <c r="H75" s="25">
        <f t="shared" ref="H75:N75" si="37">H77-G77</f>
        <v>55641.599999999991</v>
      </c>
      <c r="I75" s="25">
        <f t="shared" si="37"/>
        <v>72576</v>
      </c>
      <c r="J75" s="25">
        <f t="shared" si="37"/>
        <v>94058.496000000043</v>
      </c>
      <c r="K75" s="25">
        <f t="shared" si="37"/>
        <v>121230.95039999997</v>
      </c>
      <c r="L75" s="25">
        <f t="shared" si="37"/>
        <v>155510.04671999987</v>
      </c>
      <c r="M75" s="25">
        <f t="shared" si="37"/>
        <v>198651.54355199996</v>
      </c>
      <c r="N75" s="25">
        <f t="shared" si="37"/>
        <v>252829.23724799999</v>
      </c>
    </row>
    <row r="76" spans="2:18" ht="15" customHeight="1" x14ac:dyDescent="0.45">
      <c r="B76" s="147"/>
      <c r="C76" s="147"/>
      <c r="D76" s="21" t="s">
        <v>59</v>
      </c>
      <c r="E76" s="25"/>
      <c r="F76" s="25"/>
      <c r="G76" s="25"/>
      <c r="H76" s="25"/>
      <c r="I76" s="25">
        <f>SUM(E75:I75)/5</f>
        <v>45254.719999999994</v>
      </c>
      <c r="J76" s="25"/>
      <c r="K76" s="25"/>
      <c r="L76" s="25"/>
      <c r="M76" s="25"/>
      <c r="N76" s="25">
        <f>SUM(E75:N75)/10</f>
        <v>104855.38739199998</v>
      </c>
    </row>
    <row r="77" spans="2:18" ht="15" customHeight="1" x14ac:dyDescent="0.45">
      <c r="B77" s="147"/>
      <c r="C77" s="147"/>
      <c r="D77" s="21" t="s">
        <v>58</v>
      </c>
      <c r="E77" s="26">
        <f t="shared" ref="E77:N77" si="38">E67*E$16</f>
        <v>23800.000000000004</v>
      </c>
      <c r="F77" s="26">
        <f t="shared" si="38"/>
        <v>55720</v>
      </c>
      <c r="G77" s="26">
        <f t="shared" si="38"/>
        <v>98055.999999999985</v>
      </c>
      <c r="H77" s="26">
        <f t="shared" si="38"/>
        <v>153697.59999999998</v>
      </c>
      <c r="I77" s="26">
        <f t="shared" si="38"/>
        <v>226273.59999999998</v>
      </c>
      <c r="J77" s="26">
        <f t="shared" si="38"/>
        <v>320332.09600000002</v>
      </c>
      <c r="K77" s="26">
        <f t="shared" si="38"/>
        <v>441563.04639999999</v>
      </c>
      <c r="L77" s="26">
        <f t="shared" si="38"/>
        <v>597073.09311999986</v>
      </c>
      <c r="M77" s="26">
        <f t="shared" si="38"/>
        <v>795724.63667199982</v>
      </c>
      <c r="N77" s="26">
        <f t="shared" si="38"/>
        <v>1048553.8739199998</v>
      </c>
    </row>
    <row r="78" spans="2:18" ht="15" customHeight="1" x14ac:dyDescent="0.45">
      <c r="B78" s="147" t="s">
        <v>18</v>
      </c>
      <c r="C78" s="146" t="s">
        <v>41</v>
      </c>
      <c r="D78" s="17" t="s">
        <v>55</v>
      </c>
      <c r="E78" s="18">
        <f t="shared" ref="E78:N78" si="39">E50+E63-E124</f>
        <v>4.4833333333333308E-2</v>
      </c>
      <c r="F78" s="18">
        <f t="shared" si="39"/>
        <v>3.969444444444447E-2</v>
      </c>
      <c r="G78" s="18">
        <f t="shared" si="39"/>
        <v>3.5412037037036978E-2</v>
      </c>
      <c r="H78" s="18">
        <f t="shared" si="39"/>
        <v>3.1843364197530921E-2</v>
      </c>
      <c r="I78" s="18">
        <f t="shared" si="39"/>
        <v>2.8869470164609022E-2</v>
      </c>
      <c r="J78" s="18">
        <f t="shared" si="39"/>
        <v>2.6391225137174321E-2</v>
      </c>
      <c r="K78" s="18">
        <f t="shared" si="39"/>
        <v>2.4326020947645136E-2</v>
      </c>
      <c r="L78" s="18">
        <f t="shared" si="39"/>
        <v>2.2605017456370943E-2</v>
      </c>
      <c r="M78" s="18">
        <f t="shared" si="39"/>
        <v>2.1170847880309041E-2</v>
      </c>
      <c r="N78" s="18">
        <f t="shared" si="39"/>
        <v>1.9975706566924354E-2</v>
      </c>
    </row>
    <row r="79" spans="2:18" ht="15" customHeight="1" x14ac:dyDescent="0.45">
      <c r="B79" s="147"/>
      <c r="C79" s="146"/>
      <c r="D79" s="17" t="s">
        <v>56</v>
      </c>
      <c r="E79" s="18"/>
      <c r="F79" s="18"/>
      <c r="G79" s="18"/>
      <c r="H79" s="18"/>
      <c r="I79" s="44">
        <f>SUM(E78:I78)/5</f>
        <v>3.6130529835390938E-2</v>
      </c>
      <c r="J79" s="18"/>
      <c r="K79" s="18"/>
      <c r="L79" s="18"/>
      <c r="M79" s="18"/>
      <c r="N79" s="19">
        <f>SUM(E78:N78)/10</f>
        <v>2.9512146716537853E-2</v>
      </c>
    </row>
    <row r="80" spans="2:18" ht="15" customHeight="1" x14ac:dyDescent="0.45">
      <c r="B80" s="147"/>
      <c r="C80" s="146"/>
      <c r="D80" s="17" t="s">
        <v>53</v>
      </c>
      <c r="E80" s="18">
        <f t="shared" ref="E80:N80" si="40">E52+E65-E126</f>
        <v>4.4833333333333308E-2</v>
      </c>
      <c r="F80" s="18">
        <f t="shared" si="40"/>
        <v>8.4527777777777827E-2</v>
      </c>
      <c r="G80" s="18">
        <f t="shared" si="40"/>
        <v>0.11993981481481464</v>
      </c>
      <c r="H80" s="18">
        <f t="shared" si="40"/>
        <v>0.15178317901234595</v>
      </c>
      <c r="I80" s="18">
        <f t="shared" si="40"/>
        <v>0.18065264917695453</v>
      </c>
      <c r="J80" s="18">
        <f t="shared" si="40"/>
        <v>0.20704387431412991</v>
      </c>
      <c r="K80" s="18">
        <f t="shared" si="40"/>
        <v>0.23136989526177354</v>
      </c>
      <c r="L80" s="18">
        <f t="shared" si="40"/>
        <v>0.2539749127181446</v>
      </c>
      <c r="M80" s="18">
        <f t="shared" si="40"/>
        <v>0.27514576059845197</v>
      </c>
      <c r="N80" s="18">
        <f t="shared" si="40"/>
        <v>0.2951214671653799</v>
      </c>
    </row>
    <row r="81" spans="1:18" ht="15" customHeight="1" x14ac:dyDescent="0.45">
      <c r="B81" s="147"/>
      <c r="C81" s="147"/>
      <c r="D81" s="21" t="s">
        <v>57</v>
      </c>
      <c r="E81" s="22">
        <f>10*E78</f>
        <v>0.44833333333333308</v>
      </c>
      <c r="F81" s="22">
        <f t="shared" ref="F81:N81" si="41">10*F78</f>
        <v>0.39694444444444471</v>
      </c>
      <c r="G81" s="22">
        <f t="shared" si="41"/>
        <v>0.35412037037036981</v>
      </c>
      <c r="H81" s="22">
        <f t="shared" si="41"/>
        <v>0.31843364197530921</v>
      </c>
      <c r="I81" s="22">
        <f t="shared" si="41"/>
        <v>0.28869470164609023</v>
      </c>
      <c r="J81" s="22">
        <f t="shared" si="41"/>
        <v>0.26391225137174323</v>
      </c>
      <c r="K81" s="22">
        <f t="shared" si="41"/>
        <v>0.24326020947645136</v>
      </c>
      <c r="L81" s="22">
        <f t="shared" si="41"/>
        <v>0.22605017456370943</v>
      </c>
      <c r="M81" s="22">
        <f t="shared" si="41"/>
        <v>0.21170847880309041</v>
      </c>
      <c r="N81" s="22">
        <f t="shared" si="41"/>
        <v>0.19975706566924353</v>
      </c>
    </row>
    <row r="82" spans="1:18" ht="15" customHeight="1" x14ac:dyDescent="0.45">
      <c r="B82" s="147"/>
      <c r="C82" s="147"/>
      <c r="D82" s="21" t="s">
        <v>58</v>
      </c>
      <c r="E82" s="22">
        <f>10*E80</f>
        <v>0.44833333333333308</v>
      </c>
      <c r="F82" s="22">
        <f>10*F80</f>
        <v>0.84527777777777824</v>
      </c>
      <c r="G82" s="22">
        <f>10*G80</f>
        <v>1.1993981481481464</v>
      </c>
      <c r="H82" s="22">
        <f t="shared" ref="H82:N82" si="42">10*H80</f>
        <v>1.5178317901234595</v>
      </c>
      <c r="I82" s="22">
        <f t="shared" si="42"/>
        <v>1.8065264917695454</v>
      </c>
      <c r="J82" s="22">
        <f t="shared" si="42"/>
        <v>2.0704387431412989</v>
      </c>
      <c r="K82" s="22">
        <f t="shared" si="42"/>
        <v>2.3136989526177354</v>
      </c>
      <c r="L82" s="22">
        <f t="shared" si="42"/>
        <v>2.5397491271814459</v>
      </c>
      <c r="M82" s="22">
        <f t="shared" si="42"/>
        <v>2.7514576059845197</v>
      </c>
      <c r="N82" s="22">
        <f t="shared" si="42"/>
        <v>2.951214671653799</v>
      </c>
    </row>
    <row r="83" spans="1:18" ht="15" customHeight="1" x14ac:dyDescent="0.45">
      <c r="B83" s="147"/>
      <c r="C83" s="148" t="s">
        <v>45</v>
      </c>
      <c r="D83" s="17" t="s">
        <v>55</v>
      </c>
      <c r="E83" s="18">
        <f t="shared" ref="E83:N83" si="43">E55+E68-E129</f>
        <v>5.3799999999999973E-2</v>
      </c>
      <c r="F83" s="18">
        <f t="shared" si="43"/>
        <v>5.7160000000000058E-2</v>
      </c>
      <c r="G83" s="18">
        <f t="shared" si="43"/>
        <v>6.1191999999999871E-2</v>
      </c>
      <c r="H83" s="18">
        <f t="shared" si="43"/>
        <v>6.6030400000000114E-2</v>
      </c>
      <c r="I83" s="18">
        <f t="shared" si="43"/>
        <v>7.1836479999999939E-2</v>
      </c>
      <c r="J83" s="18">
        <f t="shared" si="43"/>
        <v>7.8803776000000339E-2</v>
      </c>
      <c r="K83" s="18">
        <f t="shared" si="43"/>
        <v>8.7164531199999853E-2</v>
      </c>
      <c r="L83" s="18">
        <f t="shared" si="43"/>
        <v>9.7197437439999826E-2</v>
      </c>
      <c r="M83" s="18">
        <f t="shared" si="43"/>
        <v>0.10923692492799943</v>
      </c>
      <c r="N83" s="18">
        <f t="shared" si="43"/>
        <v>0.12368430991360037</v>
      </c>
    </row>
    <row r="84" spans="1:18" ht="15" customHeight="1" x14ac:dyDescent="0.45">
      <c r="B84" s="147"/>
      <c r="C84" s="146"/>
      <c r="D84" s="17" t="s">
        <v>56</v>
      </c>
      <c r="E84" s="18"/>
      <c r="F84" s="18"/>
      <c r="G84" s="18"/>
      <c r="H84" s="18"/>
      <c r="I84" s="19">
        <f>SUM(E83:I83)/5</f>
        <v>6.200377599999999E-2</v>
      </c>
      <c r="J84" s="19"/>
      <c r="K84" s="19"/>
      <c r="L84" s="19"/>
      <c r="M84" s="19"/>
      <c r="N84" s="19">
        <f>SUM(E83:N83)/10</f>
        <v>8.061058594815998E-2</v>
      </c>
    </row>
    <row r="85" spans="1:18" ht="15" customHeight="1" x14ac:dyDescent="0.45">
      <c r="B85" s="147"/>
      <c r="C85" s="147"/>
      <c r="D85" s="21" t="s">
        <v>57</v>
      </c>
      <c r="E85" s="24">
        <f t="shared" ref="E85:N85" si="44">E81*E$16</f>
        <v>53799.999999999971</v>
      </c>
      <c r="F85" s="24">
        <f t="shared" si="44"/>
        <v>57160.000000000036</v>
      </c>
      <c r="G85" s="24">
        <f t="shared" si="44"/>
        <v>61191.999999999905</v>
      </c>
      <c r="H85" s="24">
        <f t="shared" si="44"/>
        <v>66030.400000000125</v>
      </c>
      <c r="I85" s="24">
        <f t="shared" si="44"/>
        <v>71836.479999999923</v>
      </c>
      <c r="J85" s="24">
        <f t="shared" si="44"/>
        <v>78803.776000000347</v>
      </c>
      <c r="K85" s="24">
        <f t="shared" si="44"/>
        <v>87164.531199999852</v>
      </c>
      <c r="L85" s="24">
        <f t="shared" si="44"/>
        <v>97197.437439999834</v>
      </c>
      <c r="M85" s="24">
        <f t="shared" si="44"/>
        <v>109236.92492799943</v>
      </c>
      <c r="N85" s="24">
        <f t="shared" si="44"/>
        <v>123684.30991360037</v>
      </c>
    </row>
    <row r="86" spans="1:18" ht="15" customHeight="1" x14ac:dyDescent="0.45">
      <c r="B86" s="147"/>
      <c r="C86" s="147"/>
      <c r="D86" s="21" t="s">
        <v>59</v>
      </c>
      <c r="E86" s="23"/>
      <c r="F86" s="23"/>
      <c r="G86" s="23"/>
      <c r="H86" s="23"/>
      <c r="I86" s="24">
        <f>SUM(E85:I85)/5</f>
        <v>62003.775999999991</v>
      </c>
      <c r="J86" s="24"/>
      <c r="K86" s="24"/>
      <c r="L86" s="24"/>
      <c r="M86" s="24"/>
      <c r="N86" s="24">
        <f>SUM(E85:N85)/10</f>
        <v>80610.585948159976</v>
      </c>
    </row>
    <row r="87" spans="1:18" ht="15" customHeight="1" x14ac:dyDescent="0.45">
      <c r="B87" s="147"/>
      <c r="C87" s="147"/>
      <c r="D87" s="21" t="s">
        <v>58</v>
      </c>
      <c r="E87" s="23">
        <f>E85</f>
        <v>53799.999999999971</v>
      </c>
      <c r="F87" s="23">
        <f t="shared" ref="F87:N87" si="45">E87+F85</f>
        <v>110960</v>
      </c>
      <c r="G87" s="23">
        <f t="shared" si="45"/>
        <v>172151.99999999991</v>
      </c>
      <c r="H87" s="23">
        <f t="shared" si="45"/>
        <v>238182.40000000002</v>
      </c>
      <c r="I87" s="23">
        <f t="shared" si="45"/>
        <v>310018.87999999995</v>
      </c>
      <c r="J87" s="23">
        <f t="shared" si="45"/>
        <v>388822.65600000031</v>
      </c>
      <c r="K87" s="23">
        <f t="shared" si="45"/>
        <v>475987.18720000016</v>
      </c>
      <c r="L87" s="23">
        <f t="shared" si="45"/>
        <v>573184.62464000005</v>
      </c>
      <c r="M87" s="23">
        <f t="shared" si="45"/>
        <v>682421.54956799943</v>
      </c>
      <c r="N87" s="23">
        <f t="shared" si="45"/>
        <v>806105.85948159976</v>
      </c>
    </row>
    <row r="88" spans="1:18" ht="15" customHeight="1" x14ac:dyDescent="0.45">
      <c r="B88" s="147"/>
      <c r="C88" s="148" t="s">
        <v>44</v>
      </c>
      <c r="D88" s="17" t="s">
        <v>55</v>
      </c>
      <c r="E88" s="18">
        <f t="shared" ref="E88:N88" si="46">E58+E73-E132</f>
        <v>5.3799999999999973E-2</v>
      </c>
      <c r="F88" s="18">
        <f t="shared" si="46"/>
        <v>6.7920000000000105E-2</v>
      </c>
      <c r="G88" s="18">
        <f t="shared" si="46"/>
        <v>8.5535999999999543E-2</v>
      </c>
      <c r="H88" s="18">
        <f t="shared" si="46"/>
        <v>0.10748160000000101</v>
      </c>
      <c r="I88" s="18">
        <f t="shared" si="46"/>
        <v>0.1347839999999989</v>
      </c>
      <c r="J88" s="18">
        <f t="shared" si="46"/>
        <v>0.16870809600000353</v>
      </c>
      <c r="K88" s="18">
        <f t="shared" si="46"/>
        <v>0.21081047039999501</v>
      </c>
      <c r="L88" s="18">
        <f t="shared" si="46"/>
        <v>0.26300547071999952</v>
      </c>
      <c r="M88" s="18">
        <f t="shared" si="46"/>
        <v>0.32764605235199046</v>
      </c>
      <c r="N88" s="18">
        <f t="shared" si="46"/>
        <v>0.40762264780801993</v>
      </c>
    </row>
    <row r="89" spans="1:18" ht="15" customHeight="1" x14ac:dyDescent="0.45">
      <c r="B89" s="147"/>
      <c r="C89" s="146"/>
      <c r="D89" s="17" t="s">
        <v>56</v>
      </c>
      <c r="E89" s="19"/>
      <c r="F89" s="19"/>
      <c r="G89" s="19"/>
      <c r="H89" s="19"/>
      <c r="I89" s="19">
        <f>SUM(E88:I88)/5</f>
        <v>8.9904319999999899E-2</v>
      </c>
      <c r="J89" s="19"/>
      <c r="K89" s="19"/>
      <c r="L89" s="19"/>
      <c r="M89" s="19"/>
      <c r="N89" s="19">
        <f>SUM(E88:N88)/10</f>
        <v>0.18273143372800077</v>
      </c>
    </row>
    <row r="90" spans="1:18" ht="15" customHeight="1" x14ac:dyDescent="0.45">
      <c r="B90" s="147"/>
      <c r="C90" s="147"/>
      <c r="D90" s="21" t="s">
        <v>57</v>
      </c>
      <c r="E90" s="24">
        <f>E92</f>
        <v>53799.999999999971</v>
      </c>
      <c r="F90" s="24">
        <f>F92-E92</f>
        <v>67920.000000000102</v>
      </c>
      <c r="G90" s="24">
        <f>G92-F92</f>
        <v>85535.999999999636</v>
      </c>
      <c r="H90" s="24">
        <f t="shared" ref="H90:N90" si="47">H92-G92</f>
        <v>107481.60000000085</v>
      </c>
      <c r="I90" s="24">
        <f t="shared" si="47"/>
        <v>134783.99999999895</v>
      </c>
      <c r="J90" s="24">
        <f t="shared" si="47"/>
        <v>168708.0960000034</v>
      </c>
      <c r="K90" s="24">
        <f t="shared" si="47"/>
        <v>210810.4703999951</v>
      </c>
      <c r="L90" s="24">
        <f t="shared" si="47"/>
        <v>263005.47071999975</v>
      </c>
      <c r="M90" s="24">
        <f t="shared" si="47"/>
        <v>327646.05235199048</v>
      </c>
      <c r="N90" s="24">
        <f t="shared" si="47"/>
        <v>407622.64780802</v>
      </c>
    </row>
    <row r="91" spans="1:18" ht="15" customHeight="1" x14ac:dyDescent="0.45">
      <c r="A91" s="9"/>
      <c r="B91" s="147"/>
      <c r="C91" s="147"/>
      <c r="D91" s="21" t="s">
        <v>59</v>
      </c>
      <c r="E91" s="24"/>
      <c r="F91" s="24"/>
      <c r="G91" s="24"/>
      <c r="H91" s="24"/>
      <c r="I91" s="24">
        <f>SUM(E90:I90)/5</f>
        <v>89904.319999999905</v>
      </c>
      <c r="J91" s="24"/>
      <c r="K91" s="24"/>
      <c r="L91" s="24"/>
      <c r="M91" s="24"/>
      <c r="N91" s="24">
        <f>SUM(E90:N90)/10</f>
        <v>182731.43372800082</v>
      </c>
      <c r="O91" s="9"/>
    </row>
    <row r="92" spans="1:18" ht="15" customHeight="1" x14ac:dyDescent="0.45">
      <c r="B92" s="147"/>
      <c r="C92" s="147"/>
      <c r="D92" s="21" t="s">
        <v>58</v>
      </c>
      <c r="E92" s="23">
        <f t="shared" ref="E92:N92" si="48">E82*E$16</f>
        <v>53799.999999999971</v>
      </c>
      <c r="F92" s="23">
        <f t="shared" si="48"/>
        <v>121720.00000000007</v>
      </c>
      <c r="G92" s="23">
        <f t="shared" si="48"/>
        <v>207255.99999999971</v>
      </c>
      <c r="H92" s="23">
        <f t="shared" si="48"/>
        <v>314737.60000000056</v>
      </c>
      <c r="I92" s="23">
        <f t="shared" si="48"/>
        <v>449521.59999999951</v>
      </c>
      <c r="J92" s="23">
        <f t="shared" si="48"/>
        <v>618229.69600000291</v>
      </c>
      <c r="K92" s="23">
        <f t="shared" si="48"/>
        <v>829040.16639999801</v>
      </c>
      <c r="L92" s="23">
        <f t="shared" si="48"/>
        <v>1092045.6371199978</v>
      </c>
      <c r="M92" s="23">
        <f t="shared" si="48"/>
        <v>1419691.6894719882</v>
      </c>
      <c r="N92" s="23">
        <f t="shared" si="48"/>
        <v>1827314.3372800082</v>
      </c>
    </row>
    <row r="93" spans="1:18" s="5" customFormat="1" ht="15" customHeight="1" x14ac:dyDescent="0.45">
      <c r="B93" s="4"/>
      <c r="C93" s="1"/>
      <c r="D93" s="53"/>
      <c r="E93" s="36"/>
      <c r="F93" s="36"/>
      <c r="G93" s="36"/>
      <c r="H93" s="36"/>
      <c r="I93" s="36"/>
      <c r="J93" s="36"/>
      <c r="K93" s="36"/>
      <c r="L93" s="36"/>
      <c r="M93" s="36"/>
      <c r="N93" s="36"/>
      <c r="P93" s="2"/>
      <c r="Q93" s="2"/>
      <c r="R93" s="2"/>
    </row>
    <row r="94" spans="1:18" s="5" customFormat="1" ht="15" customHeight="1" x14ac:dyDescent="0.45">
      <c r="B94" s="153" t="s">
        <v>39</v>
      </c>
      <c r="C94" s="3" t="s">
        <v>33</v>
      </c>
      <c r="D94" s="58">
        <f>E9</f>
        <v>0.3</v>
      </c>
      <c r="E94" s="138" t="s">
        <v>3</v>
      </c>
      <c r="F94" s="138" t="s">
        <v>4</v>
      </c>
      <c r="G94" s="138" t="s">
        <v>5</v>
      </c>
      <c r="H94" s="138" t="s">
        <v>6</v>
      </c>
      <c r="I94" s="138" t="s">
        <v>7</v>
      </c>
      <c r="J94" s="138" t="s">
        <v>8</v>
      </c>
      <c r="K94" s="138" t="s">
        <v>9</v>
      </c>
      <c r="L94" s="138" t="s">
        <v>10</v>
      </c>
      <c r="M94" s="138" t="s">
        <v>11</v>
      </c>
      <c r="N94" s="138" t="s">
        <v>12</v>
      </c>
      <c r="P94" s="2"/>
      <c r="Q94" s="2"/>
      <c r="R94" s="2"/>
    </row>
    <row r="95" spans="1:18" s="5" customFormat="1" ht="15" customHeight="1" x14ac:dyDescent="0.45">
      <c r="B95" s="154"/>
      <c r="C95" s="47" t="s">
        <v>21</v>
      </c>
      <c r="D95" s="35" t="str">
        <f>"10 BTC / "&amp;TEXT($E$4*10, "$###0.00,,")&amp;"M USD"</f>
        <v>10 BTC / $1.00M USD</v>
      </c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P95" s="2"/>
      <c r="Q95" s="2"/>
      <c r="R95" s="2"/>
    </row>
    <row r="96" spans="1:18" s="5" customFormat="1" ht="15" customHeight="1" x14ac:dyDescent="0.45">
      <c r="B96" s="147" t="s">
        <v>16</v>
      </c>
      <c r="C96" s="146" t="s">
        <v>41</v>
      </c>
      <c r="D96" s="17" t="s">
        <v>84</v>
      </c>
      <c r="E96" s="18">
        <f>E$24*$D94</f>
        <v>9.9999999999999992E-2</v>
      </c>
      <c r="F96" s="18">
        <f t="shared" ref="F96:N96" si="49">F$24*$D94</f>
        <v>8.3333333333333356E-2</v>
      </c>
      <c r="G96" s="18">
        <f t="shared" si="49"/>
        <v>6.944444444444442E-2</v>
      </c>
      <c r="H96" s="18">
        <f t="shared" si="49"/>
        <v>5.7870370370370391E-2</v>
      </c>
      <c r="I96" s="18">
        <f t="shared" si="49"/>
        <v>4.8225308641975294E-2</v>
      </c>
      <c r="J96" s="18">
        <f t="shared" si="49"/>
        <v>4.0187757201646135E-2</v>
      </c>
      <c r="K96" s="18">
        <f t="shared" si="49"/>
        <v>3.348979766803839E-2</v>
      </c>
      <c r="L96" s="18">
        <f t="shared" si="49"/>
        <v>2.7908164723365325E-2</v>
      </c>
      <c r="M96" s="18">
        <f t="shared" si="49"/>
        <v>2.3256803936137736E-2</v>
      </c>
      <c r="N96" s="18">
        <f t="shared" si="49"/>
        <v>1.9380669946781514E-2</v>
      </c>
      <c r="P96" s="2"/>
      <c r="Q96" s="2"/>
      <c r="R96" s="2"/>
    </row>
    <row r="97" spans="2:18" s="5" customFormat="1" ht="15" customHeight="1" x14ac:dyDescent="0.45">
      <c r="B97" s="147"/>
      <c r="C97" s="146"/>
      <c r="D97" s="17" t="s">
        <v>85</v>
      </c>
      <c r="E97" s="18"/>
      <c r="F97" s="18"/>
      <c r="G97" s="18"/>
      <c r="H97" s="18"/>
      <c r="I97" s="102">
        <f>SUM(E96:I96)/5</f>
        <v>7.1774691358024695E-2</v>
      </c>
      <c r="J97" s="18"/>
      <c r="K97" s="18"/>
      <c r="L97" s="18"/>
      <c r="M97" s="18"/>
      <c r="N97" s="19">
        <f>SUM(E96:N96)/10</f>
        <v>5.0309665026609253E-2</v>
      </c>
      <c r="P97" s="2"/>
      <c r="Q97" s="2"/>
      <c r="R97" s="2"/>
    </row>
    <row r="98" spans="2:18" s="5" customFormat="1" ht="15" customHeight="1" x14ac:dyDescent="0.45">
      <c r="B98" s="147"/>
      <c r="C98" s="146"/>
      <c r="D98" s="17" t="s">
        <v>53</v>
      </c>
      <c r="E98" s="18">
        <f>E$18*(E96/E$20)</f>
        <v>9.9999999999999992E-2</v>
      </c>
      <c r="F98" s="18">
        <f t="shared" ref="F98:N98" si="50">F$18*(F96/F$20)</f>
        <v>0.18333333333333335</v>
      </c>
      <c r="G98" s="18">
        <f t="shared" si="50"/>
        <v>0.25277777777777777</v>
      </c>
      <c r="H98" s="18">
        <f t="shared" si="50"/>
        <v>0.31064814814814817</v>
      </c>
      <c r="I98" s="18">
        <f t="shared" si="50"/>
        <v>0.35887345679012345</v>
      </c>
      <c r="J98" s="18">
        <f t="shared" si="50"/>
        <v>0.39906121399176958</v>
      </c>
      <c r="K98" s="18">
        <f t="shared" si="50"/>
        <v>0.43255101165980797</v>
      </c>
      <c r="L98" s="18">
        <f t="shared" si="50"/>
        <v>0.4604591763831733</v>
      </c>
      <c r="M98" s="18">
        <f t="shared" si="50"/>
        <v>0.48371598031931101</v>
      </c>
      <c r="N98" s="18">
        <f t="shared" si="50"/>
        <v>0.50309665026609252</v>
      </c>
      <c r="P98" s="2"/>
      <c r="Q98" s="2"/>
      <c r="R98" s="2"/>
    </row>
    <row r="99" spans="2:18" s="5" customFormat="1" ht="15" customHeight="1" x14ac:dyDescent="0.45">
      <c r="B99" s="147"/>
      <c r="C99" s="147"/>
      <c r="D99" s="21" t="s">
        <v>57</v>
      </c>
      <c r="E99" s="22">
        <f>10*E96</f>
        <v>0.99999999999999989</v>
      </c>
      <c r="F99" s="22">
        <f t="shared" ref="F99:N99" si="51">10*F96</f>
        <v>0.83333333333333359</v>
      </c>
      <c r="G99" s="22">
        <f t="shared" si="51"/>
        <v>0.6944444444444442</v>
      </c>
      <c r="H99" s="22">
        <f t="shared" si="51"/>
        <v>0.57870370370370394</v>
      </c>
      <c r="I99" s="22">
        <f t="shared" si="51"/>
        <v>0.48225308641975295</v>
      </c>
      <c r="J99" s="22">
        <f t="shared" si="51"/>
        <v>0.40187757201646135</v>
      </c>
      <c r="K99" s="22">
        <f t="shared" si="51"/>
        <v>0.3348979766803839</v>
      </c>
      <c r="L99" s="22">
        <f t="shared" si="51"/>
        <v>0.27908164723365325</v>
      </c>
      <c r="M99" s="22">
        <f t="shared" si="51"/>
        <v>0.23256803936137738</v>
      </c>
      <c r="N99" s="22">
        <f t="shared" si="51"/>
        <v>0.19380669946781515</v>
      </c>
      <c r="P99" s="2"/>
      <c r="Q99" s="2"/>
      <c r="R99" s="2"/>
    </row>
    <row r="100" spans="2:18" s="5" customFormat="1" ht="15" customHeight="1" x14ac:dyDescent="0.45">
      <c r="B100" s="147"/>
      <c r="C100" s="147"/>
      <c r="D100" s="21" t="s">
        <v>58</v>
      </c>
      <c r="E100" s="22">
        <f>10*E98</f>
        <v>0.99999999999999989</v>
      </c>
      <c r="F100" s="22">
        <f>10*F98</f>
        <v>1.8333333333333335</v>
      </c>
      <c r="G100" s="22">
        <f>10*G98</f>
        <v>2.5277777777777777</v>
      </c>
      <c r="H100" s="22">
        <f t="shared" ref="H100:N100" si="52">10*H98</f>
        <v>3.1064814814814818</v>
      </c>
      <c r="I100" s="22">
        <f t="shared" si="52"/>
        <v>3.5887345679012346</v>
      </c>
      <c r="J100" s="22">
        <f t="shared" si="52"/>
        <v>3.9906121399176957</v>
      </c>
      <c r="K100" s="22">
        <f t="shared" si="52"/>
        <v>4.32551011659808</v>
      </c>
      <c r="L100" s="22">
        <f t="shared" si="52"/>
        <v>4.6045917638317331</v>
      </c>
      <c r="M100" s="22">
        <f t="shared" si="52"/>
        <v>4.83715980319311</v>
      </c>
      <c r="N100" s="22">
        <f t="shared" si="52"/>
        <v>5.0309665026609256</v>
      </c>
      <c r="P100" s="2"/>
      <c r="Q100" s="2"/>
      <c r="R100" s="2"/>
    </row>
    <row r="101" spans="2:18" s="5" customFormat="1" ht="15" customHeight="1" x14ac:dyDescent="0.45">
      <c r="B101" s="147"/>
      <c r="C101" s="148" t="s">
        <v>45</v>
      </c>
      <c r="D101" s="17" t="s">
        <v>55</v>
      </c>
      <c r="E101" s="18">
        <f>E96*E$16/$E$4</f>
        <v>0.11999999999999998</v>
      </c>
      <c r="F101" s="18">
        <f t="shared" ref="F101:N101" si="53">F96*F$16/$E$4</f>
        <v>0.12000000000000004</v>
      </c>
      <c r="G101" s="18">
        <f t="shared" si="53"/>
        <v>0.11999999999999997</v>
      </c>
      <c r="H101" s="18">
        <f t="shared" si="53"/>
        <v>0.12000000000000004</v>
      </c>
      <c r="I101" s="18">
        <f t="shared" si="53"/>
        <v>0.11999999999999997</v>
      </c>
      <c r="J101" s="18">
        <f t="shared" si="53"/>
        <v>0.12000000000000015</v>
      </c>
      <c r="K101" s="18">
        <f t="shared" si="53"/>
        <v>0.11999999999999994</v>
      </c>
      <c r="L101" s="18">
        <f t="shared" si="53"/>
        <v>0.11999999999999993</v>
      </c>
      <c r="M101" s="18">
        <f t="shared" si="53"/>
        <v>0.11999999999999975</v>
      </c>
      <c r="N101" s="18">
        <f t="shared" si="53"/>
        <v>0.12000000000000016</v>
      </c>
      <c r="P101" s="2"/>
      <c r="Q101" s="2"/>
      <c r="R101" s="2"/>
    </row>
    <row r="102" spans="2:18" s="5" customFormat="1" ht="15" customHeight="1" x14ac:dyDescent="0.45">
      <c r="B102" s="147"/>
      <c r="C102" s="147"/>
      <c r="D102" s="21" t="s">
        <v>57</v>
      </c>
      <c r="E102" s="23">
        <f t="shared" ref="E102:N102" si="54">E99*E$16</f>
        <v>119999.99999999999</v>
      </c>
      <c r="F102" s="23">
        <f t="shared" si="54"/>
        <v>120000.00000000004</v>
      </c>
      <c r="G102" s="23">
        <f t="shared" si="54"/>
        <v>119999.99999999996</v>
      </c>
      <c r="H102" s="23">
        <f t="shared" si="54"/>
        <v>120000.00000000004</v>
      </c>
      <c r="I102" s="23">
        <f t="shared" si="54"/>
        <v>119999.99999999997</v>
      </c>
      <c r="J102" s="23">
        <f t="shared" si="54"/>
        <v>120000.00000000015</v>
      </c>
      <c r="K102" s="23">
        <f t="shared" si="54"/>
        <v>119999.99999999994</v>
      </c>
      <c r="L102" s="23">
        <f t="shared" si="54"/>
        <v>119999.99999999993</v>
      </c>
      <c r="M102" s="23">
        <f t="shared" si="54"/>
        <v>119999.99999999975</v>
      </c>
      <c r="N102" s="23">
        <f t="shared" si="54"/>
        <v>120000.00000000016</v>
      </c>
      <c r="P102" s="2"/>
      <c r="Q102" s="2"/>
      <c r="R102" s="2"/>
    </row>
    <row r="103" spans="2:18" s="5" customFormat="1" ht="15" customHeight="1" x14ac:dyDescent="0.45">
      <c r="B103" s="147"/>
      <c r="C103" s="147"/>
      <c r="D103" s="21" t="s">
        <v>58</v>
      </c>
      <c r="E103" s="23">
        <f>E102</f>
        <v>119999.99999999999</v>
      </c>
      <c r="F103" s="23">
        <f>E103+F102</f>
        <v>240000.00000000003</v>
      </c>
      <c r="G103" s="23">
        <f t="shared" ref="G103:N103" si="55">F103+G102</f>
        <v>360000</v>
      </c>
      <c r="H103" s="23">
        <f t="shared" si="55"/>
        <v>480000.00000000006</v>
      </c>
      <c r="I103" s="23">
        <f t="shared" si="55"/>
        <v>600000</v>
      </c>
      <c r="J103" s="23">
        <f t="shared" si="55"/>
        <v>720000.00000000012</v>
      </c>
      <c r="K103" s="23">
        <f t="shared" si="55"/>
        <v>840000</v>
      </c>
      <c r="L103" s="23">
        <f t="shared" si="55"/>
        <v>959999.99999999988</v>
      </c>
      <c r="M103" s="23">
        <f t="shared" si="55"/>
        <v>1079999.9999999995</v>
      </c>
      <c r="N103" s="23">
        <f t="shared" si="55"/>
        <v>1199999.9999999998</v>
      </c>
      <c r="P103" s="2"/>
      <c r="Q103" s="2"/>
      <c r="R103" s="2"/>
    </row>
    <row r="104" spans="2:18" s="5" customFormat="1" ht="15" customHeight="1" x14ac:dyDescent="0.45">
      <c r="B104" s="147"/>
      <c r="C104" s="148" t="s">
        <v>44</v>
      </c>
      <c r="D104" s="17" t="s">
        <v>55</v>
      </c>
      <c r="E104" s="18">
        <f>E98*E$16/$E$4</f>
        <v>0.11999999999999998</v>
      </c>
      <c r="F104" s="18">
        <f>F98*F$16/$E$4-E104</f>
        <v>0.14400000000000002</v>
      </c>
      <c r="G104" s="18">
        <f>G98*G$16/$E$4-F104-E104</f>
        <v>0.17280000000000001</v>
      </c>
      <c r="H104" s="18">
        <f>H98*H$16/$E$4-G104-F104-E104</f>
        <v>0.20736000000000004</v>
      </c>
      <c r="I104" s="18">
        <f>I98*I$16/$E$4-H104-G104-F104-E104</f>
        <v>0.24883199999999994</v>
      </c>
      <c r="J104" s="18">
        <f>J98*J$16/$E$4-I104-H104-G104-F104-E104</f>
        <v>0.29859840000000015</v>
      </c>
      <c r="K104" s="18">
        <f>K98*K$16/$E$4-J104-I104-H104-G104-F104-E104</f>
        <v>0.35831807999999987</v>
      </c>
      <c r="L104" s="18">
        <f>L98*L$16/$E$4-K104-J104-I104-H104-G104-F104-E104</f>
        <v>0.4299816959999998</v>
      </c>
      <c r="M104" s="18">
        <f>M98*M$16/$E$4-L104-K104-J104-I104-H104-G104-F104-E104</f>
        <v>0.51597803519999985</v>
      </c>
      <c r="N104" s="18">
        <f>N98*N$16/$E$4-M104-L104-K104-J104-I104-H104-G104-F104-E104</f>
        <v>0.61917364223999982</v>
      </c>
      <c r="P104" s="2"/>
      <c r="Q104" s="2"/>
      <c r="R104" s="2"/>
    </row>
    <row r="105" spans="2:18" s="5" customFormat="1" ht="15" customHeight="1" x14ac:dyDescent="0.45">
      <c r="B105" s="147"/>
      <c r="C105" s="146"/>
      <c r="D105" s="17" t="s">
        <v>56</v>
      </c>
      <c r="E105" s="19"/>
      <c r="F105" s="19"/>
      <c r="G105" s="19"/>
      <c r="H105" s="19"/>
      <c r="I105" s="19">
        <f>SUM(E104:I104)/5</f>
        <v>0.17859839999999999</v>
      </c>
      <c r="J105" s="19"/>
      <c r="K105" s="19"/>
      <c r="L105" s="19"/>
      <c r="M105" s="19"/>
      <c r="N105" s="19">
        <f>SUM(E104:N104)/10</f>
        <v>0.31150418534399993</v>
      </c>
      <c r="P105" s="2"/>
      <c r="Q105" s="2"/>
      <c r="R105" s="2"/>
    </row>
    <row r="106" spans="2:18" s="5" customFormat="1" ht="15" customHeight="1" x14ac:dyDescent="0.45">
      <c r="B106" s="147"/>
      <c r="C106" s="147"/>
      <c r="D106" s="21" t="s">
        <v>57</v>
      </c>
      <c r="E106" s="24">
        <f>E108</f>
        <v>119999.99999999999</v>
      </c>
      <c r="F106" s="24">
        <f>F108-E108</f>
        <v>144000</v>
      </c>
      <c r="G106" s="24">
        <f t="shared" ref="G106:N106" si="56">G108-F108</f>
        <v>172800</v>
      </c>
      <c r="H106" s="24">
        <f t="shared" si="56"/>
        <v>207360.00000000012</v>
      </c>
      <c r="I106" s="24">
        <f t="shared" si="56"/>
        <v>248831.99999999988</v>
      </c>
      <c r="J106" s="24">
        <f t="shared" si="56"/>
        <v>298598.40000000014</v>
      </c>
      <c r="K106" s="24">
        <f t="shared" si="56"/>
        <v>358318.08000000007</v>
      </c>
      <c r="L106" s="24">
        <f t="shared" si="56"/>
        <v>429981.69599999976</v>
      </c>
      <c r="M106" s="24">
        <f t="shared" si="56"/>
        <v>515978.03519999934</v>
      </c>
      <c r="N106" s="24">
        <f t="shared" si="56"/>
        <v>619173.64224000042</v>
      </c>
      <c r="P106" s="2"/>
      <c r="Q106" s="2"/>
      <c r="R106" s="2"/>
    </row>
    <row r="107" spans="2:18" s="5" customFormat="1" ht="15" customHeight="1" x14ac:dyDescent="0.45">
      <c r="B107" s="147"/>
      <c r="C107" s="147"/>
      <c r="D107" s="21" t="s">
        <v>59</v>
      </c>
      <c r="E107" s="24"/>
      <c r="F107" s="24"/>
      <c r="G107" s="24"/>
      <c r="H107" s="24"/>
      <c r="I107" s="24">
        <f>SUM(E106:I106)/5</f>
        <v>178598.39999999999</v>
      </c>
      <c r="J107" s="24"/>
      <c r="K107" s="24"/>
      <c r="L107" s="24"/>
      <c r="M107" s="24"/>
      <c r="N107" s="24">
        <f>SUM(E106:N106)/10</f>
        <v>311504.185344</v>
      </c>
      <c r="P107" s="2"/>
      <c r="Q107" s="2"/>
      <c r="R107" s="2"/>
    </row>
    <row r="108" spans="2:18" s="5" customFormat="1" ht="15" customHeight="1" x14ac:dyDescent="0.45">
      <c r="B108" s="147"/>
      <c r="C108" s="147"/>
      <c r="D108" s="21" t="s">
        <v>58</v>
      </c>
      <c r="E108" s="23">
        <f>E100*E$16</f>
        <v>119999.99999999999</v>
      </c>
      <c r="F108" s="23">
        <f t="shared" ref="F108:N108" si="57">F100*F$16</f>
        <v>264000</v>
      </c>
      <c r="G108" s="23">
        <f t="shared" si="57"/>
        <v>436800</v>
      </c>
      <c r="H108" s="23">
        <f t="shared" si="57"/>
        <v>644160.00000000012</v>
      </c>
      <c r="I108" s="23">
        <f t="shared" si="57"/>
        <v>892992</v>
      </c>
      <c r="J108" s="23">
        <f t="shared" si="57"/>
        <v>1191590.4000000001</v>
      </c>
      <c r="K108" s="23">
        <f t="shared" si="57"/>
        <v>1549908.4800000002</v>
      </c>
      <c r="L108" s="23">
        <f t="shared" si="57"/>
        <v>1979890.176</v>
      </c>
      <c r="M108" s="23">
        <f t="shared" si="57"/>
        <v>2495868.2111999993</v>
      </c>
      <c r="N108" s="23">
        <f t="shared" si="57"/>
        <v>3115041.8534399997</v>
      </c>
      <c r="P108" s="2"/>
      <c r="Q108" s="2"/>
      <c r="R108" s="2"/>
    </row>
    <row r="109" spans="2:18" s="5" customFormat="1" ht="15" customHeight="1" x14ac:dyDescent="0.45">
      <c r="B109" s="147" t="s">
        <v>17</v>
      </c>
      <c r="C109" s="146" t="s">
        <v>41</v>
      </c>
      <c r="D109" s="17" t="s">
        <v>55</v>
      </c>
      <c r="E109" s="18">
        <f>E$26*$D94</f>
        <v>8.5000000000000006E-3</v>
      </c>
      <c r="F109" s="18">
        <f t="shared" ref="F109:N109" si="58">F$26*$D94</f>
        <v>8.083333333333333E-3</v>
      </c>
      <c r="G109" s="18">
        <f t="shared" si="58"/>
        <v>7.7361111111111111E-3</v>
      </c>
      <c r="H109" s="18">
        <f t="shared" si="58"/>
        <v>7.4467592592592589E-3</v>
      </c>
      <c r="I109" s="18">
        <f t="shared" si="58"/>
        <v>7.2056327160493821E-3</v>
      </c>
      <c r="J109" s="18">
        <f t="shared" si="58"/>
        <v>7.0046939300411519E-3</v>
      </c>
      <c r="K109" s="18">
        <f t="shared" si="58"/>
        <v>6.8372449417009595E-3</v>
      </c>
      <c r="L109" s="18">
        <f t="shared" si="58"/>
        <v>6.6977041180841333E-3</v>
      </c>
      <c r="M109" s="18">
        <f t="shared" si="58"/>
        <v>6.5814200984034453E-3</v>
      </c>
      <c r="N109" s="18">
        <f t="shared" si="58"/>
        <v>6.484516748669537E-3</v>
      </c>
      <c r="P109" s="2"/>
      <c r="Q109" s="2"/>
      <c r="R109" s="2"/>
    </row>
    <row r="110" spans="2:18" s="5" customFormat="1" ht="15" customHeight="1" x14ac:dyDescent="0.45">
      <c r="B110" s="147"/>
      <c r="C110" s="146"/>
      <c r="D110" s="17" t="s">
        <v>56</v>
      </c>
      <c r="E110" s="18"/>
      <c r="F110" s="18"/>
      <c r="G110" s="18"/>
      <c r="H110" s="18"/>
      <c r="I110" s="102">
        <f>SUM(E109:I109)/5</f>
        <v>7.7943672839506165E-3</v>
      </c>
      <c r="J110" s="19"/>
      <c r="K110" s="19"/>
      <c r="L110" s="19"/>
      <c r="M110" s="19"/>
      <c r="N110" s="19">
        <f>SUM(E109:N109)/10</f>
        <v>7.2577416256652313E-3</v>
      </c>
      <c r="P110" s="2"/>
      <c r="Q110" s="2"/>
      <c r="R110" s="2"/>
    </row>
    <row r="111" spans="2:18" s="5" customFormat="1" ht="15" customHeight="1" x14ac:dyDescent="0.45">
      <c r="B111" s="147"/>
      <c r="C111" s="146"/>
      <c r="D111" s="17" t="s">
        <v>53</v>
      </c>
      <c r="E111" s="18">
        <f t="shared" ref="E111:N111" si="59">E$28*$D94</f>
        <v>8.5000000000000006E-3</v>
      </c>
      <c r="F111" s="18">
        <f t="shared" si="59"/>
        <v>1.6583333333333332E-2</v>
      </c>
      <c r="G111" s="18">
        <f t="shared" si="59"/>
        <v>2.4319444444444442E-2</v>
      </c>
      <c r="H111" s="18">
        <f t="shared" si="59"/>
        <v>3.1766203703703699E-2</v>
      </c>
      <c r="I111" s="18">
        <f t="shared" si="59"/>
        <v>3.8971836419753082E-2</v>
      </c>
      <c r="J111" s="18">
        <f t="shared" si="59"/>
        <v>4.5976530349794237E-2</v>
      </c>
      <c r="K111" s="18">
        <f t="shared" si="59"/>
        <v>5.2813775291495189E-2</v>
      </c>
      <c r="L111" s="18">
        <f t="shared" si="59"/>
        <v>5.9511479409579321E-2</v>
      </c>
      <c r="M111" s="18">
        <f t="shared" si="59"/>
        <v>6.6092899507982764E-2</v>
      </c>
      <c r="N111" s="18">
        <f t="shared" si="59"/>
        <v>7.2577416256652302E-2</v>
      </c>
      <c r="P111" s="2"/>
      <c r="Q111" s="2"/>
      <c r="R111" s="2"/>
    </row>
    <row r="112" spans="2:18" s="5" customFormat="1" ht="15" customHeight="1" x14ac:dyDescent="0.45">
      <c r="B112" s="147"/>
      <c r="C112" s="147"/>
      <c r="D112" s="21" t="s">
        <v>57</v>
      </c>
      <c r="E112" s="22">
        <f t="shared" ref="E112:N112" si="60">10*E109</f>
        <v>8.5000000000000006E-2</v>
      </c>
      <c r="F112" s="22">
        <f t="shared" si="60"/>
        <v>8.0833333333333326E-2</v>
      </c>
      <c r="G112" s="22">
        <f t="shared" si="60"/>
        <v>7.7361111111111117E-2</v>
      </c>
      <c r="H112" s="22">
        <f t="shared" si="60"/>
        <v>7.4467592592592585E-2</v>
      </c>
      <c r="I112" s="22">
        <f t="shared" si="60"/>
        <v>7.2056327160493816E-2</v>
      </c>
      <c r="J112" s="22">
        <f t="shared" si="60"/>
        <v>7.0046939300411518E-2</v>
      </c>
      <c r="K112" s="22">
        <f t="shared" si="60"/>
        <v>6.8372449417009595E-2</v>
      </c>
      <c r="L112" s="22">
        <f t="shared" si="60"/>
        <v>6.6977041180841329E-2</v>
      </c>
      <c r="M112" s="22">
        <f t="shared" si="60"/>
        <v>6.5814200984034454E-2</v>
      </c>
      <c r="N112" s="22">
        <f t="shared" si="60"/>
        <v>6.4845167486695374E-2</v>
      </c>
      <c r="P112" s="2"/>
      <c r="Q112" s="2"/>
      <c r="R112" s="2"/>
    </row>
    <row r="113" spans="2:18" s="5" customFormat="1" ht="15" customHeight="1" x14ac:dyDescent="0.45">
      <c r="B113" s="147"/>
      <c r="C113" s="147"/>
      <c r="D113" s="21" t="s">
        <v>58</v>
      </c>
      <c r="E113" s="22">
        <f>10*E111</f>
        <v>8.5000000000000006E-2</v>
      </c>
      <c r="F113" s="22">
        <f t="shared" ref="F113:N113" si="61">10*F111</f>
        <v>0.16583333333333333</v>
      </c>
      <c r="G113" s="22">
        <f t="shared" si="61"/>
        <v>0.24319444444444444</v>
      </c>
      <c r="H113" s="22">
        <f t="shared" si="61"/>
        <v>0.31766203703703699</v>
      </c>
      <c r="I113" s="22">
        <f t="shared" si="61"/>
        <v>0.38971836419753081</v>
      </c>
      <c r="J113" s="22">
        <f t="shared" si="61"/>
        <v>0.45976530349794237</v>
      </c>
      <c r="K113" s="22">
        <f t="shared" si="61"/>
        <v>0.52813775291495191</v>
      </c>
      <c r="L113" s="22">
        <f t="shared" si="61"/>
        <v>0.59511479409579326</v>
      </c>
      <c r="M113" s="22">
        <f t="shared" si="61"/>
        <v>0.66092899507982761</v>
      </c>
      <c r="N113" s="22">
        <f t="shared" si="61"/>
        <v>0.72577416256652305</v>
      </c>
      <c r="P113" s="2"/>
      <c r="Q113" s="2"/>
      <c r="R113" s="2"/>
    </row>
    <row r="114" spans="2:18" s="5" customFormat="1" ht="15" customHeight="1" x14ac:dyDescent="0.45">
      <c r="B114" s="147"/>
      <c r="C114" s="148" t="s">
        <v>45</v>
      </c>
      <c r="D114" s="17" t="s">
        <v>55</v>
      </c>
      <c r="E114" s="18">
        <f t="shared" ref="E114:N114" si="62">E109*E$16/$E$4</f>
        <v>1.0200000000000001E-2</v>
      </c>
      <c r="F114" s="18">
        <f t="shared" si="62"/>
        <v>1.1639999999999999E-2</v>
      </c>
      <c r="G114" s="18">
        <f t="shared" si="62"/>
        <v>1.3368E-2</v>
      </c>
      <c r="H114" s="18">
        <f t="shared" si="62"/>
        <v>1.5441599999999998E-2</v>
      </c>
      <c r="I114" s="18">
        <f t="shared" si="62"/>
        <v>1.7929919999999998E-2</v>
      </c>
      <c r="J114" s="18">
        <f t="shared" si="62"/>
        <v>2.0915903999999999E-2</v>
      </c>
      <c r="K114" s="18">
        <f t="shared" si="62"/>
        <v>2.4499084800000001E-2</v>
      </c>
      <c r="L114" s="18">
        <f t="shared" si="62"/>
        <v>2.8798901759999999E-2</v>
      </c>
      <c r="M114" s="18">
        <f t="shared" si="62"/>
        <v>3.3958682112000003E-2</v>
      </c>
      <c r="N114" s="18">
        <f t="shared" si="62"/>
        <v>4.0150418534399997E-2</v>
      </c>
      <c r="P114" s="2"/>
      <c r="Q114" s="2"/>
      <c r="R114" s="2"/>
    </row>
    <row r="115" spans="2:18" s="5" customFormat="1" ht="15" customHeight="1" x14ac:dyDescent="0.45">
      <c r="B115" s="147"/>
      <c r="C115" s="146"/>
      <c r="D115" s="17" t="s">
        <v>56</v>
      </c>
      <c r="E115" s="18"/>
      <c r="F115" s="18"/>
      <c r="G115" s="18"/>
      <c r="H115" s="18"/>
      <c r="I115" s="19">
        <f>SUM(E114:I114)/5</f>
        <v>1.3715903999999998E-2</v>
      </c>
      <c r="J115" s="19"/>
      <c r="K115" s="19"/>
      <c r="L115" s="19"/>
      <c r="M115" s="19"/>
      <c r="N115" s="19">
        <f>SUM(E114:N114)/10</f>
        <v>2.1690251120639999E-2</v>
      </c>
      <c r="P115" s="2"/>
      <c r="Q115" s="2"/>
      <c r="R115" s="2"/>
    </row>
    <row r="116" spans="2:18" s="5" customFormat="1" ht="15" customHeight="1" x14ac:dyDescent="0.45">
      <c r="B116" s="147"/>
      <c r="C116" s="147"/>
      <c r="D116" s="21" t="s">
        <v>57</v>
      </c>
      <c r="E116" s="25">
        <f t="shared" ref="E116:N116" si="63">E112*E$16</f>
        <v>10200</v>
      </c>
      <c r="F116" s="25">
        <f t="shared" si="63"/>
        <v>11639.999999999998</v>
      </c>
      <c r="G116" s="25">
        <f t="shared" si="63"/>
        <v>13368.000000000002</v>
      </c>
      <c r="H116" s="25">
        <f t="shared" si="63"/>
        <v>15441.599999999999</v>
      </c>
      <c r="I116" s="25">
        <f t="shared" si="63"/>
        <v>17929.919999999998</v>
      </c>
      <c r="J116" s="25">
        <f t="shared" si="63"/>
        <v>20915.903999999999</v>
      </c>
      <c r="K116" s="25">
        <f t="shared" si="63"/>
        <v>24499.084799999997</v>
      </c>
      <c r="L116" s="25">
        <f t="shared" si="63"/>
        <v>28798.901759999997</v>
      </c>
      <c r="M116" s="25">
        <f t="shared" si="63"/>
        <v>33958.682112000002</v>
      </c>
      <c r="N116" s="25">
        <f t="shared" si="63"/>
        <v>40150.4185344</v>
      </c>
      <c r="P116" s="2"/>
      <c r="Q116" s="2"/>
      <c r="R116" s="2"/>
    </row>
    <row r="117" spans="2:18" s="5" customFormat="1" ht="15" customHeight="1" x14ac:dyDescent="0.45">
      <c r="B117" s="147"/>
      <c r="C117" s="147"/>
      <c r="D117" s="21" t="s">
        <v>59</v>
      </c>
      <c r="E117" s="26"/>
      <c r="F117" s="26"/>
      <c r="G117" s="26"/>
      <c r="H117" s="26"/>
      <c r="I117" s="25">
        <f>SUM(E116:I116)/5</f>
        <v>13715.903999999999</v>
      </c>
      <c r="J117" s="25"/>
      <c r="K117" s="25"/>
      <c r="L117" s="25"/>
      <c r="M117" s="25"/>
      <c r="N117" s="25">
        <f>SUM(E116:N116)/10</f>
        <v>21690.251120640001</v>
      </c>
      <c r="P117" s="2"/>
      <c r="Q117" s="2"/>
      <c r="R117" s="2"/>
    </row>
    <row r="118" spans="2:18" s="5" customFormat="1" ht="15" customHeight="1" x14ac:dyDescent="0.45">
      <c r="B118" s="147"/>
      <c r="C118" s="147"/>
      <c r="D118" s="21" t="s">
        <v>58</v>
      </c>
      <c r="E118" s="26">
        <f>E116</f>
        <v>10200</v>
      </c>
      <c r="F118" s="26">
        <f t="shared" ref="F118:N118" si="64">E118+F116</f>
        <v>21840</v>
      </c>
      <c r="G118" s="26">
        <f t="shared" si="64"/>
        <v>35208</v>
      </c>
      <c r="H118" s="26">
        <f t="shared" si="64"/>
        <v>50649.599999999999</v>
      </c>
      <c r="I118" s="26">
        <f t="shared" si="64"/>
        <v>68579.51999999999</v>
      </c>
      <c r="J118" s="26">
        <f t="shared" si="64"/>
        <v>89495.423999999985</v>
      </c>
      <c r="K118" s="26">
        <f t="shared" si="64"/>
        <v>113994.50879999998</v>
      </c>
      <c r="L118" s="26">
        <f t="shared" si="64"/>
        <v>142793.41055999999</v>
      </c>
      <c r="M118" s="26">
        <f t="shared" si="64"/>
        <v>176752.092672</v>
      </c>
      <c r="N118" s="26">
        <f t="shared" si="64"/>
        <v>216902.5112064</v>
      </c>
      <c r="P118" s="2"/>
      <c r="Q118" s="2"/>
      <c r="R118" s="2"/>
    </row>
    <row r="119" spans="2:18" s="5" customFormat="1" ht="15" customHeight="1" x14ac:dyDescent="0.45">
      <c r="B119" s="147"/>
      <c r="C119" s="148" t="s">
        <v>44</v>
      </c>
      <c r="D119" s="17" t="s">
        <v>55</v>
      </c>
      <c r="E119" s="18">
        <f>E111*E$16/$E$4</f>
        <v>1.0200000000000001E-2</v>
      </c>
      <c r="F119" s="18">
        <f>F111*F$16/$E$4-E119</f>
        <v>1.3679999999999998E-2</v>
      </c>
      <c r="G119" s="18">
        <f>G111*G$16/$E$4-F119-E119</f>
        <v>1.8144E-2</v>
      </c>
      <c r="H119" s="18">
        <f>H111*H$16/$E$4-G119-F119-E119</f>
        <v>2.3846399999999997E-2</v>
      </c>
      <c r="I119" s="18">
        <f>I111*I$16/$E$4-H119-G119-F119-E119</f>
        <v>3.1104E-2</v>
      </c>
      <c r="J119" s="18">
        <f>J111*J$16/$E$4-I119-H119-G119-F119-E119</f>
        <v>4.031078400000003E-2</v>
      </c>
      <c r="K119" s="18">
        <f>K111*K$16/$E$4-J119-I119-H119-G119-F119-E119</f>
        <v>5.1956121599999947E-2</v>
      </c>
      <c r="L119" s="18">
        <f>L111*L$16/$E$4-K119-J119-I119-H119-G119-F119-E119</f>
        <v>6.6647162879999985E-2</v>
      </c>
      <c r="M119" s="18">
        <f>M111*M$16/$E$4-L119-K119-J119-I119-H119-G119-F119-E119</f>
        <v>8.5136375807999973E-2</v>
      </c>
      <c r="N119" s="18">
        <f>N111*N$16/$E$4-M119-L119-K119-J119-I119-H119-G119-F119-E119</f>
        <v>0.10835538739199994</v>
      </c>
      <c r="P119" s="2"/>
      <c r="Q119" s="2"/>
      <c r="R119" s="2"/>
    </row>
    <row r="120" spans="2:18" s="5" customFormat="1" ht="15" customHeight="1" x14ac:dyDescent="0.45">
      <c r="B120" s="147"/>
      <c r="C120" s="146"/>
      <c r="D120" s="17" t="s">
        <v>56</v>
      </c>
      <c r="E120" s="19"/>
      <c r="F120" s="19"/>
      <c r="G120" s="19"/>
      <c r="H120" s="19"/>
      <c r="I120" s="19">
        <f>SUM(E119:I119)/5</f>
        <v>1.9394879999999996E-2</v>
      </c>
      <c r="J120" s="19"/>
      <c r="K120" s="19"/>
      <c r="L120" s="19"/>
      <c r="M120" s="19"/>
      <c r="N120" s="19">
        <f>SUM(E119:N119)/10</f>
        <v>4.4938023167999989E-2</v>
      </c>
      <c r="P120" s="2"/>
      <c r="Q120" s="2"/>
      <c r="R120" s="2"/>
    </row>
    <row r="121" spans="2:18" s="5" customFormat="1" ht="15" customHeight="1" x14ac:dyDescent="0.45">
      <c r="B121" s="147"/>
      <c r="C121" s="147"/>
      <c r="D121" s="21" t="s">
        <v>57</v>
      </c>
      <c r="E121" s="25">
        <f>E123</f>
        <v>10200</v>
      </c>
      <c r="F121" s="25">
        <f>F123-E123</f>
        <v>13680</v>
      </c>
      <c r="G121" s="25">
        <f>G123-F123</f>
        <v>18144</v>
      </c>
      <c r="H121" s="25">
        <f t="shared" ref="H121:N121" si="65">H123-G123</f>
        <v>23846.399999999994</v>
      </c>
      <c r="I121" s="25">
        <f t="shared" si="65"/>
        <v>31103.999999999985</v>
      </c>
      <c r="J121" s="25">
        <f t="shared" si="65"/>
        <v>40310.784000000029</v>
      </c>
      <c r="K121" s="25">
        <f t="shared" si="65"/>
        <v>51956.121599999984</v>
      </c>
      <c r="L121" s="25">
        <f t="shared" si="65"/>
        <v>66647.162879999989</v>
      </c>
      <c r="M121" s="25">
        <f t="shared" si="65"/>
        <v>85136.375807999924</v>
      </c>
      <c r="N121" s="25">
        <f t="shared" si="65"/>
        <v>108355.387392</v>
      </c>
      <c r="P121" s="2"/>
      <c r="Q121" s="2"/>
      <c r="R121" s="2"/>
    </row>
    <row r="122" spans="2:18" s="5" customFormat="1" ht="15" customHeight="1" x14ac:dyDescent="0.45">
      <c r="B122" s="147"/>
      <c r="C122" s="147"/>
      <c r="D122" s="21" t="s">
        <v>59</v>
      </c>
      <c r="E122" s="25"/>
      <c r="F122" s="25"/>
      <c r="G122" s="25"/>
      <c r="H122" s="25"/>
      <c r="I122" s="25">
        <f>SUM(E121:I121)/5</f>
        <v>19394.879999999997</v>
      </c>
      <c r="J122" s="25"/>
      <c r="K122" s="25"/>
      <c r="L122" s="25"/>
      <c r="M122" s="25"/>
      <c r="N122" s="25">
        <f>SUM(E121:N121)/10</f>
        <v>44938.023167999992</v>
      </c>
      <c r="P122" s="2"/>
      <c r="Q122" s="2"/>
      <c r="R122" s="2"/>
    </row>
    <row r="123" spans="2:18" s="5" customFormat="1" ht="15" customHeight="1" x14ac:dyDescent="0.45">
      <c r="B123" s="147"/>
      <c r="C123" s="147"/>
      <c r="D123" s="21" t="s">
        <v>58</v>
      </c>
      <c r="E123" s="26">
        <f t="shared" ref="E123:N123" si="66">E113*E$16</f>
        <v>10200</v>
      </c>
      <c r="F123" s="26">
        <f t="shared" si="66"/>
        <v>23880</v>
      </c>
      <c r="G123" s="26">
        <f t="shared" si="66"/>
        <v>42024</v>
      </c>
      <c r="H123" s="26">
        <f t="shared" si="66"/>
        <v>65870.399999999994</v>
      </c>
      <c r="I123" s="26">
        <f t="shared" si="66"/>
        <v>96974.39999999998</v>
      </c>
      <c r="J123" s="26">
        <f t="shared" si="66"/>
        <v>137285.18400000001</v>
      </c>
      <c r="K123" s="26">
        <f t="shared" si="66"/>
        <v>189241.30559999999</v>
      </c>
      <c r="L123" s="26">
        <f t="shared" si="66"/>
        <v>255888.46847999998</v>
      </c>
      <c r="M123" s="26">
        <f t="shared" si="66"/>
        <v>341024.84428799991</v>
      </c>
      <c r="N123" s="26">
        <f t="shared" si="66"/>
        <v>449380.23167999991</v>
      </c>
      <c r="P123" s="2"/>
      <c r="Q123" s="2"/>
      <c r="R123" s="2"/>
    </row>
    <row r="124" spans="2:18" ht="15" customHeight="1" x14ac:dyDescent="0.45">
      <c r="B124" s="140" t="s">
        <v>71</v>
      </c>
      <c r="C124" s="146" t="s">
        <v>41</v>
      </c>
      <c r="D124" s="17" t="s">
        <v>55</v>
      </c>
      <c r="E124" s="18">
        <f>E129*$E$4/E$16</f>
        <v>6.25E-2</v>
      </c>
      <c r="F124" s="18">
        <f t="shared" ref="F124:N124" si="67">F129*$E$4/F$16</f>
        <v>5.2083333333333336E-2</v>
      </c>
      <c r="G124" s="18">
        <f t="shared" si="67"/>
        <v>4.3402777777777776E-2</v>
      </c>
      <c r="H124" s="18">
        <f t="shared" si="67"/>
        <v>3.6168981481481483E-2</v>
      </c>
      <c r="I124" s="18">
        <f t="shared" si="67"/>
        <v>3.0140817901234566E-2</v>
      </c>
      <c r="J124" s="18">
        <f t="shared" si="67"/>
        <v>2.5117348251028803E-2</v>
      </c>
      <c r="K124" s="18">
        <f t="shared" si="67"/>
        <v>2.0931123542524004E-2</v>
      </c>
      <c r="L124" s="18">
        <f t="shared" si="67"/>
        <v>1.7442602952103339E-2</v>
      </c>
      <c r="M124" s="18">
        <f t="shared" si="67"/>
        <v>1.4535502460086116E-2</v>
      </c>
      <c r="N124" s="18">
        <f t="shared" si="67"/>
        <v>1.2112918716738429E-2</v>
      </c>
    </row>
    <row r="125" spans="2:18" ht="15" customHeight="1" x14ac:dyDescent="0.45">
      <c r="B125" s="141"/>
      <c r="C125" s="146"/>
      <c r="D125" s="17" t="s">
        <v>56</v>
      </c>
      <c r="E125" s="18"/>
      <c r="F125" s="18"/>
      <c r="G125" s="18"/>
      <c r="H125" s="18"/>
      <c r="I125" s="102">
        <f>SUM(E124:I124)/5</f>
        <v>4.4859182098765431E-2</v>
      </c>
      <c r="J125" s="18"/>
      <c r="K125" s="18"/>
      <c r="L125" s="18"/>
      <c r="M125" s="18"/>
      <c r="N125" s="19">
        <f>SUM(E124:N124)/10</f>
        <v>3.1443540641630782E-2</v>
      </c>
    </row>
    <row r="126" spans="2:18" ht="15" customHeight="1" x14ac:dyDescent="0.45">
      <c r="B126" s="141"/>
      <c r="C126" s="146"/>
      <c r="D126" s="17" t="s">
        <v>53</v>
      </c>
      <c r="E126" s="18">
        <f t="shared" ref="E126:N126" si="68">E$18*(E124/E$20)</f>
        <v>6.25E-2</v>
      </c>
      <c r="F126" s="18">
        <f t="shared" si="68"/>
        <v>0.11458333333333333</v>
      </c>
      <c r="G126" s="18">
        <f t="shared" si="68"/>
        <v>0.15798611111111116</v>
      </c>
      <c r="H126" s="18">
        <f t="shared" si="68"/>
        <v>0.1941550925925925</v>
      </c>
      <c r="I126" s="18">
        <f t="shared" si="68"/>
        <v>0.22429591049382722</v>
      </c>
      <c r="J126" s="18">
        <f t="shared" si="68"/>
        <v>0.2494132587448557</v>
      </c>
      <c r="K126" s="18">
        <f t="shared" si="68"/>
        <v>0.27034438228738011</v>
      </c>
      <c r="L126" s="18">
        <f t="shared" si="68"/>
        <v>0.28778698523948348</v>
      </c>
      <c r="M126" s="18">
        <f t="shared" si="68"/>
        <v>0.30232248769957004</v>
      </c>
      <c r="N126" s="18">
        <f t="shared" si="68"/>
        <v>0.31443540641630741</v>
      </c>
    </row>
    <row r="127" spans="2:18" ht="15" customHeight="1" x14ac:dyDescent="0.45">
      <c r="B127" s="141"/>
      <c r="C127" s="147"/>
      <c r="D127" s="21" t="s">
        <v>57</v>
      </c>
      <c r="E127" s="22">
        <f>10*E124</f>
        <v>0.625</v>
      </c>
      <c r="F127" s="22">
        <f t="shared" ref="F127:N127" si="69">10*F124</f>
        <v>0.52083333333333337</v>
      </c>
      <c r="G127" s="22">
        <f t="shared" si="69"/>
        <v>0.43402777777777779</v>
      </c>
      <c r="H127" s="22">
        <f t="shared" si="69"/>
        <v>0.36168981481481483</v>
      </c>
      <c r="I127" s="22">
        <f t="shared" si="69"/>
        <v>0.30140817901234568</v>
      </c>
      <c r="J127" s="22">
        <f t="shared" si="69"/>
        <v>0.25117348251028804</v>
      </c>
      <c r="K127" s="22">
        <f t="shared" si="69"/>
        <v>0.20931123542524005</v>
      </c>
      <c r="L127" s="22">
        <f t="shared" si="69"/>
        <v>0.17442602952103339</v>
      </c>
      <c r="M127" s="22">
        <f t="shared" si="69"/>
        <v>0.14535502460086117</v>
      </c>
      <c r="N127" s="22">
        <f t="shared" si="69"/>
        <v>0.1211291871673843</v>
      </c>
      <c r="R127" s="13"/>
    </row>
    <row r="128" spans="2:18" ht="15" customHeight="1" x14ac:dyDescent="0.45">
      <c r="B128" s="141"/>
      <c r="C128" s="147"/>
      <c r="D128" s="21" t="s">
        <v>58</v>
      </c>
      <c r="E128" s="22">
        <f>10*E126</f>
        <v>0.625</v>
      </c>
      <c r="F128" s="22">
        <f>10*F126</f>
        <v>1.1458333333333333</v>
      </c>
      <c r="G128" s="22">
        <f>10*G126</f>
        <v>1.5798611111111116</v>
      </c>
      <c r="H128" s="22">
        <f t="shared" ref="H128:N128" si="70">10*H126</f>
        <v>1.9415509259259252</v>
      </c>
      <c r="I128" s="22">
        <f t="shared" si="70"/>
        <v>2.2429591049382722</v>
      </c>
      <c r="J128" s="22">
        <f t="shared" si="70"/>
        <v>2.4941325874485569</v>
      </c>
      <c r="K128" s="22">
        <f t="shared" si="70"/>
        <v>2.7034438228738011</v>
      </c>
      <c r="L128" s="22">
        <f t="shared" si="70"/>
        <v>2.8778698523948347</v>
      </c>
      <c r="M128" s="22">
        <f t="shared" si="70"/>
        <v>3.0232248769957004</v>
      </c>
      <c r="N128" s="22">
        <f t="shared" si="70"/>
        <v>3.1443540641630738</v>
      </c>
      <c r="R128" s="13"/>
    </row>
    <row r="129" spans="2:18" ht="15" customHeight="1" x14ac:dyDescent="0.45">
      <c r="B129" s="141"/>
      <c r="C129" s="148" t="s">
        <v>45</v>
      </c>
      <c r="D129" s="17" t="s">
        <v>55</v>
      </c>
      <c r="E129" s="18">
        <f>$E$11*$E$12</f>
        <v>7.4999999999999997E-2</v>
      </c>
      <c r="F129" s="18">
        <f t="shared" ref="F129:N129" si="71">$E$11*$E$12</f>
        <v>7.4999999999999997E-2</v>
      </c>
      <c r="G129" s="18">
        <f t="shared" si="71"/>
        <v>7.4999999999999997E-2</v>
      </c>
      <c r="H129" s="18">
        <f t="shared" si="71"/>
        <v>7.4999999999999997E-2</v>
      </c>
      <c r="I129" s="18">
        <f t="shared" si="71"/>
        <v>7.4999999999999997E-2</v>
      </c>
      <c r="J129" s="18">
        <f t="shared" si="71"/>
        <v>7.4999999999999997E-2</v>
      </c>
      <c r="K129" s="18">
        <f t="shared" si="71"/>
        <v>7.4999999999999997E-2</v>
      </c>
      <c r="L129" s="18">
        <f t="shared" si="71"/>
        <v>7.4999999999999997E-2</v>
      </c>
      <c r="M129" s="18">
        <f t="shared" si="71"/>
        <v>7.4999999999999997E-2</v>
      </c>
      <c r="N129" s="18">
        <f t="shared" si="71"/>
        <v>7.4999999999999997E-2</v>
      </c>
    </row>
    <row r="130" spans="2:18" ht="15" customHeight="1" x14ac:dyDescent="0.45">
      <c r="B130" s="141"/>
      <c r="C130" s="147"/>
      <c r="D130" s="21" t="s">
        <v>57</v>
      </c>
      <c r="E130" s="23">
        <f>E127*E$16</f>
        <v>75000</v>
      </c>
      <c r="F130" s="23">
        <f t="shared" ref="F130:N130" si="72">F127*F$16</f>
        <v>75000</v>
      </c>
      <c r="G130" s="23">
        <f t="shared" si="72"/>
        <v>75000</v>
      </c>
      <c r="H130" s="23">
        <f t="shared" si="72"/>
        <v>75000</v>
      </c>
      <c r="I130" s="23">
        <f t="shared" si="72"/>
        <v>75000</v>
      </c>
      <c r="J130" s="23">
        <f t="shared" si="72"/>
        <v>75000</v>
      </c>
      <c r="K130" s="23">
        <f t="shared" si="72"/>
        <v>75000</v>
      </c>
      <c r="L130" s="23">
        <f t="shared" si="72"/>
        <v>75000</v>
      </c>
      <c r="M130" s="23">
        <f t="shared" si="72"/>
        <v>75000</v>
      </c>
      <c r="N130" s="23">
        <f t="shared" si="72"/>
        <v>75000</v>
      </c>
    </row>
    <row r="131" spans="2:18" ht="15" customHeight="1" x14ac:dyDescent="0.45">
      <c r="B131" s="141"/>
      <c r="C131" s="147"/>
      <c r="D131" s="21" t="s">
        <v>58</v>
      </c>
      <c r="E131" s="23">
        <f>E130</f>
        <v>75000</v>
      </c>
      <c r="F131" s="23">
        <f>E131+F130</f>
        <v>150000</v>
      </c>
      <c r="G131" s="23">
        <f t="shared" ref="G131:N131" si="73">F131+G130</f>
        <v>225000</v>
      </c>
      <c r="H131" s="23">
        <f t="shared" si="73"/>
        <v>300000</v>
      </c>
      <c r="I131" s="23">
        <f t="shared" si="73"/>
        <v>375000</v>
      </c>
      <c r="J131" s="23">
        <f t="shared" si="73"/>
        <v>450000</v>
      </c>
      <c r="K131" s="23">
        <f t="shared" si="73"/>
        <v>525000</v>
      </c>
      <c r="L131" s="23">
        <f t="shared" si="73"/>
        <v>600000</v>
      </c>
      <c r="M131" s="23">
        <f t="shared" si="73"/>
        <v>675000</v>
      </c>
      <c r="N131" s="23">
        <f t="shared" si="73"/>
        <v>750000</v>
      </c>
    </row>
    <row r="132" spans="2:18" ht="15" customHeight="1" x14ac:dyDescent="0.45">
      <c r="B132" s="141"/>
      <c r="C132" s="148" t="s">
        <v>44</v>
      </c>
      <c r="D132" s="17" t="s">
        <v>55</v>
      </c>
      <c r="E132" s="18">
        <f>E126*E$16/$E$4</f>
        <v>7.4999999999999997E-2</v>
      </c>
      <c r="F132" s="18">
        <f>F126*F$16/$E$4-E132</f>
        <v>9.0000000000000011E-2</v>
      </c>
      <c r="G132" s="18">
        <f>G126*G$16/$E$4-F132-E132</f>
        <v>0.10800000000000005</v>
      </c>
      <c r="H132" s="18">
        <f>H126*H$16/$E$4-G132-F132-E132</f>
        <v>0.12959999999999972</v>
      </c>
      <c r="I132" s="18">
        <f>I126*I$16/$E$4-H132-G132-F132-E132</f>
        <v>0.15552000000000038</v>
      </c>
      <c r="J132" s="18">
        <f>J126*J$16/$E$4-I132-H132-G132-F132-E132</f>
        <v>0.18662399999999907</v>
      </c>
      <c r="K132" s="18">
        <f>K126*K$16/$E$4-J132-I132-H132-G132-F132-E132</f>
        <v>0.22394880000000145</v>
      </c>
      <c r="L132" s="18">
        <f>L126*L$16/$E$4-K132-J132-I132-H132-G132-F132-E132</f>
        <v>0.26873856000000013</v>
      </c>
      <c r="M132" s="18">
        <f>M126*M$16/$E$4-L132-K132-J132-I132-H132-G132-F132-E132</f>
        <v>0.32248627200000241</v>
      </c>
      <c r="N132" s="18">
        <f>N126*N$16/$E$4-M132-L132-K132-J132-I132-H132-G132-F132-E132</f>
        <v>0.38698352639999412</v>
      </c>
      <c r="R132" s="16"/>
    </row>
    <row r="133" spans="2:18" ht="15" customHeight="1" x14ac:dyDescent="0.45">
      <c r="B133" s="141"/>
      <c r="C133" s="146"/>
      <c r="D133" s="17" t="s">
        <v>56</v>
      </c>
      <c r="E133" s="19"/>
      <c r="F133" s="19"/>
      <c r="G133" s="19"/>
      <c r="H133" s="19"/>
      <c r="I133" s="19">
        <f>SUM(E132:I132)/5</f>
        <v>0.11162400000000003</v>
      </c>
      <c r="J133" s="19"/>
      <c r="K133" s="19"/>
      <c r="L133" s="19"/>
      <c r="M133" s="19"/>
      <c r="N133" s="19">
        <f>SUM(E132:N132)/10</f>
        <v>0.19469011583999971</v>
      </c>
    </row>
    <row r="134" spans="2:18" ht="15" customHeight="1" x14ac:dyDescent="0.45">
      <c r="B134" s="141"/>
      <c r="C134" s="147"/>
      <c r="D134" s="21" t="s">
        <v>57</v>
      </c>
      <c r="E134" s="24">
        <f>E136</f>
        <v>75000</v>
      </c>
      <c r="F134" s="24">
        <f>F136-E136</f>
        <v>90000</v>
      </c>
      <c r="G134" s="24">
        <f t="shared" ref="G134:N134" si="74">G136-F136</f>
        <v>108000.00000000006</v>
      </c>
      <c r="H134" s="24">
        <f t="shared" si="74"/>
        <v>129599.99999999977</v>
      </c>
      <c r="I134" s="24">
        <f t="shared" si="74"/>
        <v>155520.00000000029</v>
      </c>
      <c r="J134" s="24">
        <f t="shared" si="74"/>
        <v>186623.99999999907</v>
      </c>
      <c r="K134" s="24">
        <f t="shared" si="74"/>
        <v>223948.80000000133</v>
      </c>
      <c r="L134" s="24">
        <f t="shared" si="74"/>
        <v>268738.56000000029</v>
      </c>
      <c r="M134" s="24">
        <f t="shared" si="74"/>
        <v>322486.27200000244</v>
      </c>
      <c r="N134" s="24">
        <f t="shared" si="74"/>
        <v>386983.5263999938</v>
      </c>
    </row>
    <row r="135" spans="2:18" ht="15" customHeight="1" x14ac:dyDescent="0.45">
      <c r="B135" s="141"/>
      <c r="C135" s="147"/>
      <c r="D135" s="21" t="s">
        <v>59</v>
      </c>
      <c r="E135" s="24"/>
      <c r="F135" s="24"/>
      <c r="G135" s="24"/>
      <c r="H135" s="24"/>
      <c r="I135" s="24">
        <f>SUM(E134:I134)/5</f>
        <v>111624.00000000003</v>
      </c>
      <c r="J135" s="24"/>
      <c r="K135" s="24"/>
      <c r="L135" s="24"/>
      <c r="M135" s="24"/>
      <c r="N135" s="24">
        <f>SUM(E134:N134)/10</f>
        <v>194690.11583999969</v>
      </c>
    </row>
    <row r="136" spans="2:18" ht="15" customHeight="1" x14ac:dyDescent="0.45">
      <c r="B136" s="142"/>
      <c r="C136" s="147"/>
      <c r="D136" s="21" t="s">
        <v>58</v>
      </c>
      <c r="E136" s="23">
        <f t="shared" ref="E136:N136" si="75">E128*E$16</f>
        <v>75000</v>
      </c>
      <c r="F136" s="23">
        <f t="shared" si="75"/>
        <v>165000</v>
      </c>
      <c r="G136" s="23">
        <f t="shared" si="75"/>
        <v>273000.00000000006</v>
      </c>
      <c r="H136" s="23">
        <f t="shared" si="75"/>
        <v>402599.99999999983</v>
      </c>
      <c r="I136" s="23">
        <f t="shared" si="75"/>
        <v>558120.00000000012</v>
      </c>
      <c r="J136" s="23">
        <f t="shared" si="75"/>
        <v>744743.99999999919</v>
      </c>
      <c r="K136" s="23">
        <f t="shared" si="75"/>
        <v>968692.80000000051</v>
      </c>
      <c r="L136" s="23">
        <f t="shared" si="75"/>
        <v>1237431.3600000008</v>
      </c>
      <c r="M136" s="23">
        <f t="shared" si="75"/>
        <v>1559917.6320000032</v>
      </c>
      <c r="N136" s="23">
        <f t="shared" si="75"/>
        <v>1946901.158399997</v>
      </c>
    </row>
    <row r="137" spans="2:18" s="5" customFormat="1" ht="15" customHeight="1" x14ac:dyDescent="0.45">
      <c r="B137" s="147" t="s">
        <v>18</v>
      </c>
      <c r="C137" s="146" t="s">
        <v>41</v>
      </c>
      <c r="D137" s="17" t="s">
        <v>55</v>
      </c>
      <c r="E137" s="18">
        <f>E96+E109+E124</f>
        <v>0.17099999999999999</v>
      </c>
      <c r="F137" s="18">
        <f t="shared" ref="F137:N137" si="76">F96+F109+F124</f>
        <v>0.14350000000000002</v>
      </c>
      <c r="G137" s="18">
        <f t="shared" si="76"/>
        <v>0.12058333333333331</v>
      </c>
      <c r="H137" s="18">
        <f t="shared" si="76"/>
        <v>0.10148611111111114</v>
      </c>
      <c r="I137" s="18">
        <f t="shared" si="76"/>
        <v>8.557175925925925E-2</v>
      </c>
      <c r="J137" s="18">
        <f t="shared" si="76"/>
        <v>7.2309799382716089E-2</v>
      </c>
      <c r="K137" s="18">
        <f t="shared" si="76"/>
        <v>6.1258166152263357E-2</v>
      </c>
      <c r="L137" s="18">
        <f t="shared" si="76"/>
        <v>5.2048471793552792E-2</v>
      </c>
      <c r="M137" s="18">
        <f t="shared" si="76"/>
        <v>4.43737264946273E-2</v>
      </c>
      <c r="N137" s="18">
        <f t="shared" si="76"/>
        <v>3.7978105412189475E-2</v>
      </c>
      <c r="P137" s="2"/>
      <c r="Q137" s="2"/>
      <c r="R137" s="2"/>
    </row>
    <row r="138" spans="2:18" s="5" customFormat="1" ht="15" customHeight="1" x14ac:dyDescent="0.45">
      <c r="B138" s="147"/>
      <c r="C138" s="146"/>
      <c r="D138" s="17" t="s">
        <v>56</v>
      </c>
      <c r="E138" s="18"/>
      <c r="F138" s="18"/>
      <c r="G138" s="18"/>
      <c r="H138" s="18"/>
      <c r="I138" s="44">
        <f>SUM(E137:I137)/5</f>
        <v>0.12442824074074074</v>
      </c>
      <c r="J138" s="18"/>
      <c r="K138" s="18"/>
      <c r="L138" s="18"/>
      <c r="M138" s="18"/>
      <c r="N138" s="19">
        <f>SUM(E137:N137)/10</f>
        <v>8.9010947293905268E-2</v>
      </c>
      <c r="P138" s="2"/>
      <c r="Q138" s="2"/>
      <c r="R138" s="2"/>
    </row>
    <row r="139" spans="2:18" ht="15" customHeight="1" x14ac:dyDescent="0.45">
      <c r="B139" s="147"/>
      <c r="C139" s="146"/>
      <c r="D139" s="17" t="s">
        <v>53</v>
      </c>
      <c r="E139" s="18">
        <f>E98+E111</f>
        <v>0.10849999999999999</v>
      </c>
      <c r="F139" s="18">
        <f t="shared" ref="F139:N139" si="77">F98+F111</f>
        <v>0.19991666666666669</v>
      </c>
      <c r="G139" s="18">
        <f t="shared" si="77"/>
        <v>0.27709722222222222</v>
      </c>
      <c r="H139" s="18">
        <f t="shared" si="77"/>
        <v>0.34241435185185187</v>
      </c>
      <c r="I139" s="18">
        <f t="shared" si="77"/>
        <v>0.39784529320987655</v>
      </c>
      <c r="J139" s="18">
        <f t="shared" si="77"/>
        <v>0.44503774434156385</v>
      </c>
      <c r="K139" s="18">
        <f t="shared" si="77"/>
        <v>0.48536478695130314</v>
      </c>
      <c r="L139" s="18">
        <f t="shared" si="77"/>
        <v>0.51997065579275259</v>
      </c>
      <c r="M139" s="18">
        <f t="shared" si="77"/>
        <v>0.54980887982729376</v>
      </c>
      <c r="N139" s="18">
        <f t="shared" si="77"/>
        <v>0.57567406652274478</v>
      </c>
    </row>
    <row r="140" spans="2:18" ht="15" customHeight="1" x14ac:dyDescent="0.45">
      <c r="B140" s="147"/>
      <c r="C140" s="147"/>
      <c r="D140" s="21" t="s">
        <v>57</v>
      </c>
      <c r="E140" s="22">
        <f>10*E137</f>
        <v>1.71</v>
      </c>
      <c r="F140" s="22">
        <f t="shared" ref="F140:N140" si="78">10*F137</f>
        <v>1.4350000000000001</v>
      </c>
      <c r="G140" s="22">
        <f t="shared" si="78"/>
        <v>1.2058333333333331</v>
      </c>
      <c r="H140" s="22">
        <f t="shared" si="78"/>
        <v>1.0148611111111114</v>
      </c>
      <c r="I140" s="22">
        <f t="shared" si="78"/>
        <v>0.8557175925925925</v>
      </c>
      <c r="J140" s="22">
        <f t="shared" si="78"/>
        <v>0.72309799382716089</v>
      </c>
      <c r="K140" s="22">
        <f t="shared" si="78"/>
        <v>0.6125816615226336</v>
      </c>
      <c r="L140" s="22">
        <f t="shared" si="78"/>
        <v>0.52048471793552786</v>
      </c>
      <c r="M140" s="22">
        <f t="shared" si="78"/>
        <v>0.44373726494627297</v>
      </c>
      <c r="N140" s="22">
        <f t="shared" si="78"/>
        <v>0.37978105412189478</v>
      </c>
    </row>
    <row r="141" spans="2:18" ht="15" customHeight="1" x14ac:dyDescent="0.45">
      <c r="B141" s="147"/>
      <c r="C141" s="147"/>
      <c r="D141" s="21" t="s">
        <v>58</v>
      </c>
      <c r="E141" s="22">
        <f>10*E139</f>
        <v>1.085</v>
      </c>
      <c r="F141" s="22">
        <f>10*F139</f>
        <v>1.999166666666667</v>
      </c>
      <c r="G141" s="22">
        <f>10*G139</f>
        <v>2.7709722222222224</v>
      </c>
      <c r="H141" s="22">
        <f t="shared" ref="H141:N141" si="79">10*H139</f>
        <v>3.4241435185185187</v>
      </c>
      <c r="I141" s="22">
        <f t="shared" si="79"/>
        <v>3.9784529320987656</v>
      </c>
      <c r="J141" s="22">
        <f t="shared" si="79"/>
        <v>4.450377443415638</v>
      </c>
      <c r="K141" s="22">
        <f t="shared" si="79"/>
        <v>4.853647869513031</v>
      </c>
      <c r="L141" s="22">
        <f t="shared" si="79"/>
        <v>5.1997065579275255</v>
      </c>
      <c r="M141" s="22">
        <f t="shared" si="79"/>
        <v>5.4980887982729376</v>
      </c>
      <c r="N141" s="22">
        <f t="shared" si="79"/>
        <v>5.756740665227448</v>
      </c>
    </row>
    <row r="142" spans="2:18" ht="15" customHeight="1" x14ac:dyDescent="0.45">
      <c r="B142" s="147"/>
      <c r="C142" s="148" t="s">
        <v>45</v>
      </c>
      <c r="D142" s="17" t="s">
        <v>55</v>
      </c>
      <c r="E142" s="18">
        <f>E101+E114+E129</f>
        <v>0.20519999999999999</v>
      </c>
      <c r="F142" s="18">
        <f t="shared" ref="F142:N142" si="80">F101+F114+F129</f>
        <v>0.20664000000000005</v>
      </c>
      <c r="G142" s="18">
        <f t="shared" si="80"/>
        <v>0.20836799999999994</v>
      </c>
      <c r="H142" s="18">
        <f t="shared" si="80"/>
        <v>0.21044160000000001</v>
      </c>
      <c r="I142" s="18">
        <f t="shared" si="80"/>
        <v>0.21292991999999994</v>
      </c>
      <c r="J142" s="18">
        <f t="shared" si="80"/>
        <v>0.21591590400000016</v>
      </c>
      <c r="K142" s="18">
        <f t="shared" si="80"/>
        <v>0.21949908479999997</v>
      </c>
      <c r="L142" s="18">
        <f t="shared" si="80"/>
        <v>0.22379890175999995</v>
      </c>
      <c r="M142" s="18">
        <f t="shared" si="80"/>
        <v>0.22895868211199977</v>
      </c>
      <c r="N142" s="18">
        <f t="shared" si="80"/>
        <v>0.23515041853440016</v>
      </c>
    </row>
    <row r="143" spans="2:18" ht="15" customHeight="1" x14ac:dyDescent="0.45">
      <c r="B143" s="147"/>
      <c r="C143" s="146"/>
      <c r="D143" s="17" t="s">
        <v>56</v>
      </c>
      <c r="E143" s="18"/>
      <c r="F143" s="18"/>
      <c r="G143" s="18"/>
      <c r="H143" s="18"/>
      <c r="I143" s="19">
        <f>SUM(E142:I142)/5</f>
        <v>0.20871590400000001</v>
      </c>
      <c r="J143" s="19"/>
      <c r="K143" s="19"/>
      <c r="L143" s="19"/>
      <c r="M143" s="19"/>
      <c r="N143" s="19">
        <f>SUM(E142:N142)/10</f>
        <v>0.21669025112064003</v>
      </c>
    </row>
    <row r="144" spans="2:18" ht="15" customHeight="1" x14ac:dyDescent="0.45">
      <c r="B144" s="147"/>
      <c r="C144" s="147"/>
      <c r="D144" s="21" t="s">
        <v>57</v>
      </c>
      <c r="E144" s="24">
        <f t="shared" ref="E144:N144" si="81">E140*E$16</f>
        <v>205200</v>
      </c>
      <c r="F144" s="24">
        <f t="shared" si="81"/>
        <v>206640</v>
      </c>
      <c r="G144" s="24">
        <f t="shared" si="81"/>
        <v>208367.99999999997</v>
      </c>
      <c r="H144" s="24">
        <f t="shared" si="81"/>
        <v>210441.60000000006</v>
      </c>
      <c r="I144" s="24">
        <f t="shared" si="81"/>
        <v>212929.91999999998</v>
      </c>
      <c r="J144" s="24">
        <f t="shared" si="81"/>
        <v>215915.90400000013</v>
      </c>
      <c r="K144" s="24">
        <f t="shared" si="81"/>
        <v>219499.08479999995</v>
      </c>
      <c r="L144" s="24">
        <f t="shared" si="81"/>
        <v>223798.90175999989</v>
      </c>
      <c r="M144" s="24">
        <f t="shared" si="81"/>
        <v>228958.68211199975</v>
      </c>
      <c r="N144" s="24">
        <f t="shared" si="81"/>
        <v>235150.41853440015</v>
      </c>
    </row>
    <row r="145" spans="1:18" ht="15" customHeight="1" x14ac:dyDescent="0.45">
      <c r="B145" s="147"/>
      <c r="C145" s="147"/>
      <c r="D145" s="21" t="s">
        <v>59</v>
      </c>
      <c r="E145" s="23"/>
      <c r="F145" s="23"/>
      <c r="G145" s="23"/>
      <c r="H145" s="23"/>
      <c r="I145" s="24">
        <f>SUM(E144:I144)/5</f>
        <v>208715.90400000001</v>
      </c>
      <c r="J145" s="24"/>
      <c r="K145" s="24"/>
      <c r="L145" s="24"/>
      <c r="M145" s="24"/>
      <c r="N145" s="24">
        <f>SUM(E144:N144)/10</f>
        <v>216690.25112063996</v>
      </c>
    </row>
    <row r="146" spans="1:18" ht="15" customHeight="1" x14ac:dyDescent="0.45">
      <c r="B146" s="147"/>
      <c r="C146" s="147"/>
      <c r="D146" s="21" t="s">
        <v>58</v>
      </c>
      <c r="E146" s="23">
        <f>E144</f>
        <v>205200</v>
      </c>
      <c r="F146" s="23">
        <f t="shared" ref="F146:N146" si="82">E146+F144</f>
        <v>411840</v>
      </c>
      <c r="G146" s="23">
        <f t="shared" si="82"/>
        <v>620208</v>
      </c>
      <c r="H146" s="23">
        <f t="shared" si="82"/>
        <v>830649.60000000009</v>
      </c>
      <c r="I146" s="23">
        <f t="shared" si="82"/>
        <v>1043579.52</v>
      </c>
      <c r="J146" s="23">
        <f t="shared" si="82"/>
        <v>1259495.4240000001</v>
      </c>
      <c r="K146" s="23">
        <f t="shared" si="82"/>
        <v>1478994.5088</v>
      </c>
      <c r="L146" s="23">
        <f t="shared" si="82"/>
        <v>1702793.4105599998</v>
      </c>
      <c r="M146" s="23">
        <f t="shared" si="82"/>
        <v>1931752.0926719995</v>
      </c>
      <c r="N146" s="23">
        <f t="shared" si="82"/>
        <v>2166902.5112063996</v>
      </c>
    </row>
    <row r="147" spans="1:18" ht="15" customHeight="1" x14ac:dyDescent="0.45">
      <c r="B147" s="147"/>
      <c r="C147" s="148" t="s">
        <v>44</v>
      </c>
      <c r="D147" s="17" t="s">
        <v>55</v>
      </c>
      <c r="E147" s="18">
        <f>E104+E119+E132</f>
        <v>0.20519999999999999</v>
      </c>
      <c r="F147" s="18">
        <f t="shared" ref="F147:N147" si="83">F104+F119+F132</f>
        <v>0.24768000000000001</v>
      </c>
      <c r="G147" s="18">
        <f t="shared" si="83"/>
        <v>0.29894400000000004</v>
      </c>
      <c r="H147" s="18">
        <f t="shared" si="83"/>
        <v>0.36080639999999975</v>
      </c>
      <c r="I147" s="18">
        <f t="shared" si="83"/>
        <v>0.43545600000000034</v>
      </c>
      <c r="J147" s="18">
        <f t="shared" si="83"/>
        <v>0.52553318399999926</v>
      </c>
      <c r="K147" s="18">
        <f t="shared" si="83"/>
        <v>0.63422300160000122</v>
      </c>
      <c r="L147" s="18">
        <f t="shared" si="83"/>
        <v>0.76536741887999993</v>
      </c>
      <c r="M147" s="18">
        <f t="shared" si="83"/>
        <v>0.92360068300800213</v>
      </c>
      <c r="N147" s="18">
        <f t="shared" si="83"/>
        <v>1.1145125560319937</v>
      </c>
    </row>
    <row r="148" spans="1:18" ht="15" customHeight="1" x14ac:dyDescent="0.45">
      <c r="A148" s="9"/>
      <c r="B148" s="147"/>
      <c r="C148" s="146"/>
      <c r="D148" s="17" t="s">
        <v>56</v>
      </c>
      <c r="E148" s="19"/>
      <c r="F148" s="19"/>
      <c r="G148" s="19"/>
      <c r="H148" s="19"/>
      <c r="I148" s="19">
        <f>SUM(E147:I147)/5</f>
        <v>0.30961727999999999</v>
      </c>
      <c r="J148" s="19"/>
      <c r="K148" s="19"/>
      <c r="L148" s="19"/>
      <c r="M148" s="19"/>
      <c r="N148" s="19">
        <f>SUM(E147:N147)/10</f>
        <v>0.55113232435199966</v>
      </c>
      <c r="O148" s="9"/>
    </row>
    <row r="149" spans="1:18" ht="15" customHeight="1" x14ac:dyDescent="0.45">
      <c r="B149" s="147"/>
      <c r="C149" s="147"/>
      <c r="D149" s="21" t="s">
        <v>57</v>
      </c>
      <c r="E149" s="24">
        <f>E151</f>
        <v>130200</v>
      </c>
      <c r="F149" s="24">
        <f>F151-E151</f>
        <v>157680.00000000006</v>
      </c>
      <c r="G149" s="24">
        <f>G151-F151</f>
        <v>190944</v>
      </c>
      <c r="H149" s="24">
        <f t="shared" ref="H149:N149" si="84">H151-G151</f>
        <v>231206.39999999997</v>
      </c>
      <c r="I149" s="24">
        <f t="shared" si="84"/>
        <v>279936</v>
      </c>
      <c r="J149" s="24">
        <f t="shared" si="84"/>
        <v>338909.18400000024</v>
      </c>
      <c r="K149" s="24">
        <f t="shared" si="84"/>
        <v>410274.20159999956</v>
      </c>
      <c r="L149" s="24">
        <f t="shared" si="84"/>
        <v>496628.85887999996</v>
      </c>
      <c r="M149" s="24">
        <f t="shared" si="84"/>
        <v>601114.41100799944</v>
      </c>
      <c r="N149" s="24">
        <f t="shared" si="84"/>
        <v>727529.02963199979</v>
      </c>
    </row>
    <row r="150" spans="1:18" ht="15" customHeight="1" x14ac:dyDescent="0.45">
      <c r="B150" s="147"/>
      <c r="C150" s="147"/>
      <c r="D150" s="21" t="s">
        <v>59</v>
      </c>
      <c r="E150" s="24"/>
      <c r="F150" s="24"/>
      <c r="G150" s="24"/>
      <c r="H150" s="24"/>
      <c r="I150" s="24">
        <f>SUM(E149:I149)/5</f>
        <v>197993.28</v>
      </c>
      <c r="J150" s="24"/>
      <c r="K150" s="24"/>
      <c r="L150" s="24"/>
      <c r="M150" s="24"/>
      <c r="N150" s="24">
        <f>SUM(E149:N149)/10</f>
        <v>356442.20851199992</v>
      </c>
    </row>
    <row r="151" spans="1:18" ht="15" customHeight="1" x14ac:dyDescent="0.45">
      <c r="B151" s="147"/>
      <c r="C151" s="147"/>
      <c r="D151" s="21" t="s">
        <v>58</v>
      </c>
      <c r="E151" s="23">
        <f t="shared" ref="E151:N151" si="85">E141*E$16</f>
        <v>130200</v>
      </c>
      <c r="F151" s="23">
        <f t="shared" si="85"/>
        <v>287880.00000000006</v>
      </c>
      <c r="G151" s="23">
        <f t="shared" si="85"/>
        <v>478824.00000000006</v>
      </c>
      <c r="H151" s="23">
        <f t="shared" si="85"/>
        <v>710030.4</v>
      </c>
      <c r="I151" s="23">
        <f t="shared" si="85"/>
        <v>989966.4</v>
      </c>
      <c r="J151" s="23">
        <f t="shared" si="85"/>
        <v>1328875.5840000003</v>
      </c>
      <c r="K151" s="23">
        <f t="shared" si="85"/>
        <v>1739149.7855999998</v>
      </c>
      <c r="L151" s="23">
        <f t="shared" si="85"/>
        <v>2235778.6444799998</v>
      </c>
      <c r="M151" s="23">
        <f t="shared" si="85"/>
        <v>2836893.0554879992</v>
      </c>
      <c r="N151" s="23">
        <f t="shared" si="85"/>
        <v>3564422.085119999</v>
      </c>
    </row>
    <row r="152" spans="1:18" ht="15" customHeight="1" x14ac:dyDescent="0.45">
      <c r="B152" s="1"/>
      <c r="C152" s="1"/>
      <c r="D152" s="48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8" ht="15" customHeight="1" x14ac:dyDescent="0.45">
      <c r="B153" s="155" t="s">
        <v>39</v>
      </c>
      <c r="C153" s="155" t="s">
        <v>67</v>
      </c>
      <c r="D153" s="155" t="s">
        <v>66</v>
      </c>
      <c r="E153" s="138" t="s">
        <v>3</v>
      </c>
      <c r="F153" s="138" t="s">
        <v>4</v>
      </c>
      <c r="G153" s="138" t="s">
        <v>5</v>
      </c>
      <c r="H153" s="138" t="s">
        <v>6</v>
      </c>
      <c r="I153" s="138" t="s">
        <v>7</v>
      </c>
      <c r="J153" s="138" t="s">
        <v>8</v>
      </c>
      <c r="K153" s="138" t="s">
        <v>9</v>
      </c>
      <c r="L153" s="138" t="s">
        <v>10</v>
      </c>
      <c r="M153" s="138" t="s">
        <v>11</v>
      </c>
      <c r="N153" s="138" t="s">
        <v>12</v>
      </c>
    </row>
    <row r="154" spans="1:18" ht="15" customHeight="1" x14ac:dyDescent="0.45">
      <c r="B154" s="156"/>
      <c r="C154" s="156"/>
      <c r="D154" s="156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</row>
    <row r="155" spans="1:18" s="5" customFormat="1" ht="15" customHeight="1" x14ac:dyDescent="0.45">
      <c r="B155" s="142" t="s">
        <v>16</v>
      </c>
      <c r="C155" s="157">
        <v>20000</v>
      </c>
      <c r="D155" s="59" t="s">
        <v>19</v>
      </c>
      <c r="E155" s="29">
        <f>E$99*$C155/20</f>
        <v>999.99999999999977</v>
      </c>
      <c r="F155" s="29">
        <f t="shared" ref="F155:N155" si="86">F$99*$C155/20</f>
        <v>833.3333333333336</v>
      </c>
      <c r="G155" s="29">
        <f t="shared" si="86"/>
        <v>694.44444444444412</v>
      </c>
      <c r="H155" s="29">
        <f t="shared" si="86"/>
        <v>578.70370370370392</v>
      </c>
      <c r="I155" s="29">
        <f t="shared" si="86"/>
        <v>482.253086419753</v>
      </c>
      <c r="J155" s="29">
        <f t="shared" si="86"/>
        <v>401.87757201646139</v>
      </c>
      <c r="K155" s="29">
        <f t="shared" si="86"/>
        <v>334.89797668038392</v>
      </c>
      <c r="L155" s="29">
        <f t="shared" si="86"/>
        <v>279.08164723365326</v>
      </c>
      <c r="M155" s="29">
        <f t="shared" si="86"/>
        <v>232.5680393613774</v>
      </c>
      <c r="N155" s="29">
        <f t="shared" si="86"/>
        <v>193.80669946781515</v>
      </c>
      <c r="P155" s="2"/>
      <c r="Q155" s="2"/>
      <c r="R155" s="2"/>
    </row>
    <row r="156" spans="1:18" s="5" customFormat="1" ht="15" customHeight="1" x14ac:dyDescent="0.45">
      <c r="B156" s="147"/>
      <c r="C156" s="158"/>
      <c r="D156" s="21" t="s">
        <v>22</v>
      </c>
      <c r="E156" s="29"/>
      <c r="F156" s="29"/>
      <c r="G156" s="29"/>
      <c r="H156" s="29"/>
      <c r="I156" s="29">
        <f>SUM(E155:I155)/5</f>
        <v>717.74691358024688</v>
      </c>
      <c r="J156" s="29"/>
      <c r="K156" s="29"/>
      <c r="L156" s="29"/>
      <c r="M156" s="29"/>
      <c r="N156" s="29">
        <f>SUM(E155:N155)/10</f>
        <v>503.09665026609252</v>
      </c>
      <c r="P156" s="2"/>
      <c r="Q156" s="2"/>
      <c r="R156" s="2"/>
    </row>
    <row r="157" spans="1:18" s="5" customFormat="1" ht="15" customHeight="1" x14ac:dyDescent="0.45">
      <c r="B157" s="147"/>
      <c r="C157" s="158"/>
      <c r="D157" s="21" t="s">
        <v>52</v>
      </c>
      <c r="E157" s="29">
        <f>E$100*$C155/20</f>
        <v>999.99999999999977</v>
      </c>
      <c r="F157" s="29">
        <f t="shared" ref="F157:N157" si="87">F$100*$C155/20</f>
        <v>1833.3333333333335</v>
      </c>
      <c r="G157" s="29">
        <f t="shared" si="87"/>
        <v>2527.7777777777778</v>
      </c>
      <c r="H157" s="29">
        <f t="shared" si="87"/>
        <v>3106.4814814814818</v>
      </c>
      <c r="I157" s="29">
        <f t="shared" si="87"/>
        <v>3588.7345679012346</v>
      </c>
      <c r="J157" s="29">
        <f t="shared" si="87"/>
        <v>3990.6121399176955</v>
      </c>
      <c r="K157" s="29">
        <f t="shared" si="87"/>
        <v>4325.5101165980795</v>
      </c>
      <c r="L157" s="29">
        <f t="shared" si="87"/>
        <v>4604.5917638317333</v>
      </c>
      <c r="M157" s="29">
        <f t="shared" si="87"/>
        <v>4837.1598031931098</v>
      </c>
      <c r="N157" s="29">
        <f t="shared" si="87"/>
        <v>5030.9665026609255</v>
      </c>
      <c r="P157" s="2"/>
      <c r="Q157" s="2"/>
      <c r="R157" s="2"/>
    </row>
    <row r="158" spans="1:18" s="5" customFormat="1" ht="15" customHeight="1" x14ac:dyDescent="0.45">
      <c r="B158" s="147"/>
      <c r="C158" s="158">
        <v>400000</v>
      </c>
      <c r="D158" s="59" t="s">
        <v>19</v>
      </c>
      <c r="E158" s="29">
        <f>E$99*$C158/20</f>
        <v>19999.999999999996</v>
      </c>
      <c r="F158" s="29">
        <f t="shared" ref="F158:N158" si="88">F$99*$C158/20</f>
        <v>16666.666666666672</v>
      </c>
      <c r="G158" s="29">
        <f t="shared" si="88"/>
        <v>13888.888888888885</v>
      </c>
      <c r="H158" s="29">
        <f t="shared" si="88"/>
        <v>11574.074074074078</v>
      </c>
      <c r="I158" s="29">
        <f t="shared" si="88"/>
        <v>9645.0617283950596</v>
      </c>
      <c r="J158" s="29">
        <f t="shared" si="88"/>
        <v>8037.5514403292273</v>
      </c>
      <c r="K158" s="29">
        <f t="shared" si="88"/>
        <v>6697.9595336076773</v>
      </c>
      <c r="L158" s="29">
        <f t="shared" si="88"/>
        <v>5581.6329446730651</v>
      </c>
      <c r="M158" s="29">
        <f t="shared" si="88"/>
        <v>4651.3607872275479</v>
      </c>
      <c r="N158" s="29">
        <f t="shared" si="88"/>
        <v>3876.1339893563031</v>
      </c>
      <c r="P158" s="2"/>
      <c r="Q158" s="2"/>
      <c r="R158" s="2"/>
    </row>
    <row r="159" spans="1:18" s="5" customFormat="1" ht="15" customHeight="1" x14ac:dyDescent="0.45">
      <c r="B159" s="147"/>
      <c r="C159" s="158"/>
      <c r="D159" s="21" t="s">
        <v>22</v>
      </c>
      <c r="E159" s="29"/>
      <c r="F159" s="29"/>
      <c r="G159" s="29"/>
      <c r="H159" s="29"/>
      <c r="I159" s="29">
        <f>SUM(E158:I158)/5</f>
        <v>14354.938271604939</v>
      </c>
      <c r="J159" s="29"/>
      <c r="K159" s="29"/>
      <c r="L159" s="29"/>
      <c r="M159" s="29"/>
      <c r="N159" s="29">
        <f>SUM(E158:N158)/10</f>
        <v>10061.933005321851</v>
      </c>
      <c r="P159" s="2"/>
      <c r="Q159" s="2"/>
      <c r="R159" s="2"/>
    </row>
    <row r="160" spans="1:18" s="5" customFormat="1" ht="15" customHeight="1" x14ac:dyDescent="0.45">
      <c r="B160" s="147"/>
      <c r="C160" s="158"/>
      <c r="D160" s="21" t="s">
        <v>52</v>
      </c>
      <c r="E160" s="29">
        <f>E$100*$C158/20</f>
        <v>19999.999999999996</v>
      </c>
      <c r="F160" s="29">
        <f t="shared" ref="F160:N160" si="89">F$100*$C158/20</f>
        <v>36666.666666666672</v>
      </c>
      <c r="G160" s="29">
        <f t="shared" si="89"/>
        <v>50555.555555555555</v>
      </c>
      <c r="H160" s="29">
        <f t="shared" si="89"/>
        <v>62129.629629629642</v>
      </c>
      <c r="I160" s="29">
        <f t="shared" si="89"/>
        <v>71774.691358024691</v>
      </c>
      <c r="J160" s="29">
        <f t="shared" si="89"/>
        <v>79812.242798353924</v>
      </c>
      <c r="K160" s="29">
        <f t="shared" si="89"/>
        <v>86510.202331961598</v>
      </c>
      <c r="L160" s="29">
        <f t="shared" si="89"/>
        <v>92091.835276634665</v>
      </c>
      <c r="M160" s="29">
        <f t="shared" si="89"/>
        <v>96743.196063862211</v>
      </c>
      <c r="N160" s="29">
        <f t="shared" si="89"/>
        <v>100619.33005321851</v>
      </c>
      <c r="P160" s="2"/>
      <c r="Q160" s="2"/>
      <c r="R160" s="2"/>
    </row>
    <row r="161" spans="2:18" s="5" customFormat="1" ht="15" customHeight="1" x14ac:dyDescent="0.45">
      <c r="B161" s="146"/>
      <c r="C161" s="159">
        <v>1000000</v>
      </c>
      <c r="D161" s="17" t="s">
        <v>19</v>
      </c>
      <c r="E161" s="31">
        <f>E$99*$C$161/20</f>
        <v>49999.999999999993</v>
      </c>
      <c r="F161" s="31">
        <f t="shared" ref="F161:N161" si="90">F$99*$C$161/20</f>
        <v>41666.666666666679</v>
      </c>
      <c r="G161" s="31">
        <f t="shared" si="90"/>
        <v>34722.222222222204</v>
      </c>
      <c r="H161" s="31">
        <f t="shared" si="90"/>
        <v>28935.185185185197</v>
      </c>
      <c r="I161" s="31">
        <f t="shared" si="90"/>
        <v>24112.654320987647</v>
      </c>
      <c r="J161" s="31">
        <f t="shared" si="90"/>
        <v>20093.878600823067</v>
      </c>
      <c r="K161" s="31">
        <f t="shared" si="90"/>
        <v>16744.898834019194</v>
      </c>
      <c r="L161" s="31">
        <f t="shared" si="90"/>
        <v>13954.082361682662</v>
      </c>
      <c r="M161" s="31">
        <f t="shared" si="90"/>
        <v>11628.401968068869</v>
      </c>
      <c r="N161" s="31">
        <f t="shared" si="90"/>
        <v>9690.3349733907562</v>
      </c>
      <c r="P161" s="2"/>
      <c r="Q161" s="2"/>
      <c r="R161" s="2"/>
    </row>
    <row r="162" spans="2:18" s="5" customFormat="1" ht="15" customHeight="1" x14ac:dyDescent="0.45">
      <c r="B162" s="146"/>
      <c r="C162" s="159"/>
      <c r="D162" s="17" t="s">
        <v>22</v>
      </c>
      <c r="E162" s="31"/>
      <c r="F162" s="31"/>
      <c r="G162" s="31"/>
      <c r="H162" s="31"/>
      <c r="I162" s="31">
        <f>SUM(E161:I161)/5</f>
        <v>35887.345679012345</v>
      </c>
      <c r="J162" s="31"/>
      <c r="K162" s="31"/>
      <c r="L162" s="31"/>
      <c r="M162" s="31"/>
      <c r="N162" s="31">
        <f>SUM(E161:N161)/10</f>
        <v>25154.832513304631</v>
      </c>
      <c r="P162" s="2"/>
      <c r="Q162" s="2"/>
      <c r="R162" s="2"/>
    </row>
    <row r="163" spans="2:18" s="5" customFormat="1" ht="15" customHeight="1" x14ac:dyDescent="0.45">
      <c r="B163" s="146"/>
      <c r="C163" s="159"/>
      <c r="D163" s="17" t="s">
        <v>52</v>
      </c>
      <c r="E163" s="31">
        <f>E$100*$C161/20</f>
        <v>49999.999999999993</v>
      </c>
      <c r="F163" s="31">
        <f t="shared" ref="F163:N163" si="91">F$100*$C161/20</f>
        <v>91666.666666666672</v>
      </c>
      <c r="G163" s="31">
        <f t="shared" si="91"/>
        <v>126388.88888888888</v>
      </c>
      <c r="H163" s="31">
        <f t="shared" si="91"/>
        <v>155324.0740740741</v>
      </c>
      <c r="I163" s="31">
        <f t="shared" si="91"/>
        <v>179436.72839506174</v>
      </c>
      <c r="J163" s="31">
        <f t="shared" si="91"/>
        <v>199530.60699588479</v>
      </c>
      <c r="K163" s="31">
        <f t="shared" si="91"/>
        <v>216275.505829904</v>
      </c>
      <c r="L163" s="31">
        <f t="shared" si="91"/>
        <v>230229.58819158663</v>
      </c>
      <c r="M163" s="31">
        <f t="shared" si="91"/>
        <v>241857.99015965551</v>
      </c>
      <c r="N163" s="31">
        <f t="shared" si="91"/>
        <v>251548.32513304628</v>
      </c>
      <c r="P163" s="2"/>
      <c r="Q163" s="2"/>
      <c r="R163" s="2"/>
    </row>
    <row r="164" spans="2:18" s="5" customFormat="1" ht="15" customHeight="1" x14ac:dyDescent="0.45">
      <c r="B164" s="146"/>
      <c r="C164" s="159">
        <v>2100000</v>
      </c>
      <c r="D164" s="17" t="s">
        <v>19</v>
      </c>
      <c r="E164" s="31">
        <f>E$99*$C164/20</f>
        <v>104999.99999999997</v>
      </c>
      <c r="F164" s="31">
        <f t="shared" ref="F164:N164" si="92">F$99*$C164/20</f>
        <v>87500.000000000029</v>
      </c>
      <c r="G164" s="31">
        <f t="shared" si="92"/>
        <v>72916.666666666642</v>
      </c>
      <c r="H164" s="31">
        <f t="shared" si="92"/>
        <v>60763.888888888912</v>
      </c>
      <c r="I164" s="31">
        <f t="shared" si="92"/>
        <v>50636.574074074058</v>
      </c>
      <c r="J164" s="31">
        <f t="shared" si="92"/>
        <v>42197.145061728443</v>
      </c>
      <c r="K164" s="31">
        <f t="shared" si="92"/>
        <v>35164.287551440313</v>
      </c>
      <c r="L164" s="31">
        <f t="shared" si="92"/>
        <v>29303.572959533591</v>
      </c>
      <c r="M164" s="31">
        <f t="shared" si="92"/>
        <v>24419.644132944624</v>
      </c>
      <c r="N164" s="31">
        <f t="shared" si="92"/>
        <v>20349.703444120591</v>
      </c>
      <c r="P164" s="2"/>
      <c r="Q164" s="2"/>
      <c r="R164" s="2"/>
    </row>
    <row r="165" spans="2:18" s="5" customFormat="1" ht="15" customHeight="1" x14ac:dyDescent="0.45">
      <c r="B165" s="146"/>
      <c r="C165" s="159"/>
      <c r="D165" s="17" t="s">
        <v>22</v>
      </c>
      <c r="E165" s="31"/>
      <c r="F165" s="31"/>
      <c r="G165" s="31"/>
      <c r="H165" s="31"/>
      <c r="I165" s="31">
        <f>SUM(E164:I164)/5</f>
        <v>75363.425925925927</v>
      </c>
      <c r="J165" s="31"/>
      <c r="K165" s="31"/>
      <c r="L165" s="31"/>
      <c r="M165" s="31"/>
      <c r="N165" s="31">
        <f>SUM(E164:N164)/10</f>
        <v>52825.148277939719</v>
      </c>
      <c r="P165" s="2"/>
      <c r="Q165" s="2"/>
      <c r="R165" s="2"/>
    </row>
    <row r="166" spans="2:18" s="5" customFormat="1" ht="15" customHeight="1" x14ac:dyDescent="0.45">
      <c r="B166" s="146"/>
      <c r="C166" s="159"/>
      <c r="D166" s="17" t="s">
        <v>52</v>
      </c>
      <c r="E166" s="31">
        <f>E$100*$C164/20</f>
        <v>104999.99999999997</v>
      </c>
      <c r="F166" s="31">
        <f t="shared" ref="F166:N166" si="93">F$100*$C164/20</f>
        <v>192500.00000000003</v>
      </c>
      <c r="G166" s="31">
        <f t="shared" si="93"/>
        <v>265416.66666666663</v>
      </c>
      <c r="H166" s="31">
        <f t="shared" si="93"/>
        <v>326180.55555555562</v>
      </c>
      <c r="I166" s="31">
        <f t="shared" si="93"/>
        <v>376817.12962962961</v>
      </c>
      <c r="J166" s="31">
        <f t="shared" si="93"/>
        <v>419014.27469135809</v>
      </c>
      <c r="K166" s="31">
        <f t="shared" si="93"/>
        <v>454178.56224279839</v>
      </c>
      <c r="L166" s="31">
        <f t="shared" si="93"/>
        <v>483482.13520233193</v>
      </c>
      <c r="M166" s="31">
        <f t="shared" si="93"/>
        <v>507901.77933527657</v>
      </c>
      <c r="N166" s="31">
        <f t="shared" si="93"/>
        <v>528251.48277939716</v>
      </c>
      <c r="P166" s="2"/>
      <c r="Q166" s="2"/>
      <c r="R166" s="2"/>
    </row>
    <row r="167" spans="2:18" s="5" customFormat="1" ht="15" customHeight="1" x14ac:dyDescent="0.45">
      <c r="B167" s="147" t="s">
        <v>17</v>
      </c>
      <c r="C167" s="158">
        <v>20000</v>
      </c>
      <c r="D167" s="59" t="s">
        <v>19</v>
      </c>
      <c r="E167" s="29">
        <f>E$112*$C167/20</f>
        <v>85.000000000000014</v>
      </c>
      <c r="F167" s="29">
        <f t="shared" ref="F167:N167" si="94">F$112*$C167/20</f>
        <v>80.833333333333329</v>
      </c>
      <c r="G167" s="29">
        <f t="shared" si="94"/>
        <v>77.361111111111114</v>
      </c>
      <c r="H167" s="29">
        <f t="shared" si="94"/>
        <v>74.467592592592581</v>
      </c>
      <c r="I167" s="29">
        <f t="shared" si="94"/>
        <v>72.056327160493808</v>
      </c>
      <c r="J167" s="29">
        <f t="shared" si="94"/>
        <v>70.046939300411523</v>
      </c>
      <c r="K167" s="29">
        <f t="shared" si="94"/>
        <v>68.372449417009591</v>
      </c>
      <c r="L167" s="29">
        <f t="shared" si="94"/>
        <v>66.977041180841326</v>
      </c>
      <c r="M167" s="29">
        <f t="shared" si="94"/>
        <v>65.814200984034457</v>
      </c>
      <c r="N167" s="29">
        <f t="shared" si="94"/>
        <v>64.845167486695374</v>
      </c>
      <c r="P167" s="2"/>
      <c r="Q167" s="2"/>
      <c r="R167" s="2"/>
    </row>
    <row r="168" spans="2:18" s="5" customFormat="1" ht="15" customHeight="1" x14ac:dyDescent="0.45">
      <c r="B168" s="147"/>
      <c r="C168" s="158"/>
      <c r="D168" s="21" t="s">
        <v>22</v>
      </c>
      <c r="E168" s="29"/>
      <c r="F168" s="29"/>
      <c r="G168" s="29"/>
      <c r="H168" s="29"/>
      <c r="I168" s="29">
        <f>SUM(E167:I167)/5</f>
        <v>77.943672839506178</v>
      </c>
      <c r="J168" s="29"/>
      <c r="K168" s="29"/>
      <c r="L168" s="29"/>
      <c r="M168" s="29"/>
      <c r="N168" s="29">
        <f>SUM(E167:N167)/10</f>
        <v>72.577416256652299</v>
      </c>
      <c r="P168" s="2"/>
      <c r="Q168" s="2"/>
      <c r="R168" s="2"/>
    </row>
    <row r="169" spans="2:18" s="5" customFormat="1" ht="15" customHeight="1" x14ac:dyDescent="0.45">
      <c r="B169" s="147"/>
      <c r="C169" s="158"/>
      <c r="D169" s="21" t="s">
        <v>52</v>
      </c>
      <c r="E169" s="29">
        <f>E$113*$C167/20</f>
        <v>85.000000000000014</v>
      </c>
      <c r="F169" s="29">
        <f t="shared" ref="F169:N169" si="95">F$113*$C167/20</f>
        <v>165.83333333333331</v>
      </c>
      <c r="G169" s="29">
        <f t="shared" si="95"/>
        <v>243.19444444444443</v>
      </c>
      <c r="H169" s="29">
        <f t="shared" si="95"/>
        <v>317.66203703703701</v>
      </c>
      <c r="I169" s="29">
        <f t="shared" si="95"/>
        <v>389.71836419753083</v>
      </c>
      <c r="J169" s="29">
        <f t="shared" si="95"/>
        <v>459.7653034979424</v>
      </c>
      <c r="K169" s="29">
        <f t="shared" si="95"/>
        <v>528.13775291495199</v>
      </c>
      <c r="L169" s="29">
        <f t="shared" si="95"/>
        <v>595.11479409579329</v>
      </c>
      <c r="M169" s="29">
        <f t="shared" si="95"/>
        <v>660.92899507982759</v>
      </c>
      <c r="N169" s="29">
        <f t="shared" si="95"/>
        <v>725.77416256652305</v>
      </c>
      <c r="P169" s="2"/>
      <c r="Q169" s="2"/>
      <c r="R169" s="2"/>
    </row>
    <row r="170" spans="2:18" s="5" customFormat="1" ht="15" customHeight="1" x14ac:dyDescent="0.45">
      <c r="B170" s="147"/>
      <c r="C170" s="158">
        <v>400000</v>
      </c>
      <c r="D170" s="59" t="s">
        <v>19</v>
      </c>
      <c r="E170" s="29">
        <f>E$112*$C170/20</f>
        <v>1700</v>
      </c>
      <c r="F170" s="29">
        <f t="shared" ref="F170:N170" si="96">F$112*$C170/20</f>
        <v>1616.6666666666665</v>
      </c>
      <c r="G170" s="29">
        <f t="shared" si="96"/>
        <v>1547.2222222222222</v>
      </c>
      <c r="H170" s="29">
        <f t="shared" si="96"/>
        <v>1489.3518518518517</v>
      </c>
      <c r="I170" s="29">
        <f t="shared" si="96"/>
        <v>1441.1265432098764</v>
      </c>
      <c r="J170" s="29">
        <f t="shared" si="96"/>
        <v>1400.9387860082302</v>
      </c>
      <c r="K170" s="29">
        <f t="shared" si="96"/>
        <v>1367.4489883401918</v>
      </c>
      <c r="L170" s="29">
        <f t="shared" si="96"/>
        <v>1339.5408236168264</v>
      </c>
      <c r="M170" s="29">
        <f t="shared" si="96"/>
        <v>1316.284019680689</v>
      </c>
      <c r="N170" s="29">
        <f t="shared" si="96"/>
        <v>1296.9033497339074</v>
      </c>
      <c r="P170" s="2"/>
      <c r="Q170" s="2"/>
      <c r="R170" s="2"/>
    </row>
    <row r="171" spans="2:18" s="5" customFormat="1" ht="15" customHeight="1" x14ac:dyDescent="0.45">
      <c r="B171" s="147"/>
      <c r="C171" s="158"/>
      <c r="D171" s="21" t="s">
        <v>22</v>
      </c>
      <c r="E171" s="29"/>
      <c r="F171" s="29"/>
      <c r="G171" s="29"/>
      <c r="H171" s="29"/>
      <c r="I171" s="29">
        <f>SUM(E170:I170)/5</f>
        <v>1558.8734567901233</v>
      </c>
      <c r="J171" s="29"/>
      <c r="K171" s="29"/>
      <c r="L171" s="29"/>
      <c r="M171" s="29"/>
      <c r="N171" s="29">
        <f>SUM(E170:N170)/10</f>
        <v>1451.5483251330461</v>
      </c>
      <c r="P171" s="2"/>
      <c r="Q171" s="2"/>
      <c r="R171" s="2"/>
    </row>
    <row r="172" spans="2:18" s="5" customFormat="1" ht="15" customHeight="1" x14ac:dyDescent="0.45">
      <c r="B172" s="147"/>
      <c r="C172" s="158"/>
      <c r="D172" s="21" t="s">
        <v>52</v>
      </c>
      <c r="E172" s="29">
        <f>E$113*$C170/20</f>
        <v>1700</v>
      </c>
      <c r="F172" s="29">
        <f t="shared" ref="F172:N172" si="97">F$113*$C170/20</f>
        <v>3316.6666666666665</v>
      </c>
      <c r="G172" s="29">
        <f t="shared" si="97"/>
        <v>4863.8888888888887</v>
      </c>
      <c r="H172" s="29">
        <f t="shared" si="97"/>
        <v>6353.24074074074</v>
      </c>
      <c r="I172" s="29">
        <f t="shared" si="97"/>
        <v>7794.3672839506162</v>
      </c>
      <c r="J172" s="29">
        <f t="shared" si="97"/>
        <v>9195.3060699588477</v>
      </c>
      <c r="K172" s="29">
        <f t="shared" si="97"/>
        <v>10562.755058299039</v>
      </c>
      <c r="L172" s="29">
        <f t="shared" si="97"/>
        <v>11902.295881915865</v>
      </c>
      <c r="M172" s="29">
        <f t="shared" si="97"/>
        <v>13218.579901596551</v>
      </c>
      <c r="N172" s="29">
        <f t="shared" si="97"/>
        <v>14515.483251330461</v>
      </c>
      <c r="P172" s="2"/>
      <c r="Q172" s="2"/>
      <c r="R172" s="2"/>
    </row>
    <row r="173" spans="2:18" s="5" customFormat="1" ht="15" customHeight="1" x14ac:dyDescent="0.45">
      <c r="B173" s="147"/>
      <c r="C173" s="159">
        <v>1000000</v>
      </c>
      <c r="D173" s="17" t="s">
        <v>19</v>
      </c>
      <c r="E173" s="99">
        <f>E$112*$C173/20</f>
        <v>4250</v>
      </c>
      <c r="F173" s="99">
        <f t="shared" ref="F173:N173" si="98">F$112*$C173/20</f>
        <v>4041.6666666666665</v>
      </c>
      <c r="G173" s="99">
        <f t="shared" si="98"/>
        <v>3868.0555555555557</v>
      </c>
      <c r="H173" s="99">
        <f t="shared" si="98"/>
        <v>3723.3796296296291</v>
      </c>
      <c r="I173" s="99">
        <f t="shared" si="98"/>
        <v>3602.816358024691</v>
      </c>
      <c r="J173" s="99">
        <f t="shared" si="98"/>
        <v>3502.3469650205757</v>
      </c>
      <c r="K173" s="99">
        <f t="shared" si="98"/>
        <v>3418.6224708504801</v>
      </c>
      <c r="L173" s="99">
        <f t="shared" si="98"/>
        <v>3348.8520590420667</v>
      </c>
      <c r="M173" s="99">
        <f t="shared" si="98"/>
        <v>3290.7100492017225</v>
      </c>
      <c r="N173" s="99">
        <f t="shared" si="98"/>
        <v>3242.2583743347686</v>
      </c>
      <c r="P173" s="2"/>
      <c r="Q173" s="2"/>
      <c r="R173" s="2"/>
    </row>
    <row r="174" spans="2:18" s="5" customFormat="1" ht="15" customHeight="1" x14ac:dyDescent="0.45">
      <c r="B174" s="147"/>
      <c r="C174" s="159"/>
      <c r="D174" s="17" t="s">
        <v>22</v>
      </c>
      <c r="E174" s="99"/>
      <c r="F174" s="99"/>
      <c r="G174" s="99"/>
      <c r="H174" s="99"/>
      <c r="I174" s="99">
        <f>SUM(E173:I173)/5</f>
        <v>3897.183641975309</v>
      </c>
      <c r="J174" s="99"/>
      <c r="K174" s="99"/>
      <c r="L174" s="99"/>
      <c r="M174" s="99"/>
      <c r="N174" s="99">
        <f>SUM(E173:N173)/10</f>
        <v>3628.8708128326166</v>
      </c>
      <c r="P174" s="2"/>
      <c r="Q174" s="2"/>
      <c r="R174" s="2"/>
    </row>
    <row r="175" spans="2:18" s="5" customFormat="1" ht="15" customHeight="1" x14ac:dyDescent="0.45">
      <c r="B175" s="147"/>
      <c r="C175" s="159"/>
      <c r="D175" s="17" t="s">
        <v>52</v>
      </c>
      <c r="E175" s="99">
        <f>E$113*$C173/20</f>
        <v>4250</v>
      </c>
      <c r="F175" s="99">
        <f t="shared" ref="F175:N175" si="99">F$113*$C173/20</f>
        <v>8291.6666666666679</v>
      </c>
      <c r="G175" s="99">
        <f t="shared" si="99"/>
        <v>12159.722222222223</v>
      </c>
      <c r="H175" s="99">
        <f t="shared" si="99"/>
        <v>15883.101851851849</v>
      </c>
      <c r="I175" s="99">
        <f t="shared" si="99"/>
        <v>19485.918209876538</v>
      </c>
      <c r="J175" s="99">
        <f t="shared" si="99"/>
        <v>22988.265174897118</v>
      </c>
      <c r="K175" s="99">
        <f t="shared" si="99"/>
        <v>26406.887645747593</v>
      </c>
      <c r="L175" s="99">
        <f t="shared" si="99"/>
        <v>29755.739704789663</v>
      </c>
      <c r="M175" s="99">
        <f t="shared" si="99"/>
        <v>33046.449753991379</v>
      </c>
      <c r="N175" s="99">
        <f t="shared" si="99"/>
        <v>36288.70812832615</v>
      </c>
      <c r="P175" s="2"/>
      <c r="Q175" s="2"/>
      <c r="R175" s="2"/>
    </row>
    <row r="176" spans="2:18" s="5" customFormat="1" ht="15" customHeight="1" x14ac:dyDescent="0.45">
      <c r="B176" s="147"/>
      <c r="C176" s="159">
        <v>2100000</v>
      </c>
      <c r="D176" s="17" t="s">
        <v>19</v>
      </c>
      <c r="E176" s="99">
        <f>E$112*$C176/20</f>
        <v>8925</v>
      </c>
      <c r="F176" s="99">
        <f t="shared" ref="F176:N176" si="100">F$112*$C176/20</f>
        <v>8487.5</v>
      </c>
      <c r="G176" s="99">
        <f t="shared" si="100"/>
        <v>8122.916666666667</v>
      </c>
      <c r="H176" s="99">
        <f t="shared" si="100"/>
        <v>7819.0972222222217</v>
      </c>
      <c r="I176" s="99">
        <f t="shared" si="100"/>
        <v>7565.9143518518513</v>
      </c>
      <c r="J176" s="99">
        <f t="shared" si="100"/>
        <v>7354.9286265432092</v>
      </c>
      <c r="K176" s="99">
        <f t="shared" si="100"/>
        <v>7179.1071887860071</v>
      </c>
      <c r="L176" s="99">
        <f t="shared" si="100"/>
        <v>7032.5893239883399</v>
      </c>
      <c r="M176" s="99">
        <f t="shared" si="100"/>
        <v>6910.4911033236176</v>
      </c>
      <c r="N176" s="99">
        <f t="shared" si="100"/>
        <v>6808.7425861030151</v>
      </c>
      <c r="P176" s="2"/>
      <c r="Q176" s="2"/>
      <c r="R176" s="2"/>
    </row>
    <row r="177" spans="2:18" s="5" customFormat="1" ht="15" customHeight="1" x14ac:dyDescent="0.45">
      <c r="B177" s="147"/>
      <c r="C177" s="159"/>
      <c r="D177" s="17" t="s">
        <v>22</v>
      </c>
      <c r="E177" s="99"/>
      <c r="F177" s="99"/>
      <c r="G177" s="99"/>
      <c r="H177" s="99"/>
      <c r="I177" s="99">
        <f>SUM(E176:I176)/5</f>
        <v>8184.0856481481487</v>
      </c>
      <c r="J177" s="99"/>
      <c r="K177" s="99"/>
      <c r="L177" s="99"/>
      <c r="M177" s="99"/>
      <c r="N177" s="99">
        <f>SUM(E176:N176)/10</f>
        <v>7620.6287069484943</v>
      </c>
      <c r="P177" s="2"/>
      <c r="Q177" s="2"/>
      <c r="R177" s="2"/>
    </row>
    <row r="178" spans="2:18" s="5" customFormat="1" ht="15" customHeight="1" x14ac:dyDescent="0.45">
      <c r="B178" s="147"/>
      <c r="C178" s="159"/>
      <c r="D178" s="17" t="s">
        <v>52</v>
      </c>
      <c r="E178" s="99">
        <f>E$113*$C176/20</f>
        <v>8925</v>
      </c>
      <c r="F178" s="99">
        <f t="shared" ref="F178:N178" si="101">F$113*$C176/20</f>
        <v>17412.5</v>
      </c>
      <c r="G178" s="99">
        <f t="shared" si="101"/>
        <v>25535.416666666664</v>
      </c>
      <c r="H178" s="99">
        <f t="shared" si="101"/>
        <v>33354.513888888883</v>
      </c>
      <c r="I178" s="99">
        <f t="shared" si="101"/>
        <v>40920.428240740737</v>
      </c>
      <c r="J178" s="99">
        <f t="shared" si="101"/>
        <v>48275.356867283946</v>
      </c>
      <c r="K178" s="99">
        <f t="shared" si="101"/>
        <v>55454.464056069948</v>
      </c>
      <c r="L178" s="99">
        <f t="shared" si="101"/>
        <v>62487.0533800583</v>
      </c>
      <c r="M178" s="99">
        <f t="shared" si="101"/>
        <v>69397.544483381891</v>
      </c>
      <c r="N178" s="99">
        <f t="shared" si="101"/>
        <v>76206.287069484912</v>
      </c>
      <c r="P178" s="2"/>
      <c r="Q178" s="2"/>
      <c r="R178" s="2"/>
    </row>
    <row r="179" spans="2:18" s="5" customFormat="1" ht="15" customHeight="1" x14ac:dyDescent="0.45">
      <c r="B179" s="147" t="s">
        <v>71</v>
      </c>
      <c r="C179" s="158">
        <v>20000</v>
      </c>
      <c r="D179" s="59" t="s">
        <v>19</v>
      </c>
      <c r="E179" s="29">
        <f>E$127*$C179/20</f>
        <v>625</v>
      </c>
      <c r="F179" s="29">
        <f t="shared" ref="F179:N179" si="102">F$127*$C179/20</f>
        <v>520.83333333333337</v>
      </c>
      <c r="G179" s="29">
        <f t="shared" si="102"/>
        <v>434.02777777777783</v>
      </c>
      <c r="H179" s="29">
        <f t="shared" si="102"/>
        <v>361.68981481481484</v>
      </c>
      <c r="I179" s="29">
        <f t="shared" si="102"/>
        <v>301.40817901234567</v>
      </c>
      <c r="J179" s="29">
        <f t="shared" si="102"/>
        <v>251.17348251028801</v>
      </c>
      <c r="K179" s="29">
        <f t="shared" si="102"/>
        <v>209.31123542524006</v>
      </c>
      <c r="L179" s="29">
        <f t="shared" si="102"/>
        <v>174.4260295210334</v>
      </c>
      <c r="M179" s="29">
        <f t="shared" si="102"/>
        <v>145.35502460086116</v>
      </c>
      <c r="N179" s="29">
        <f t="shared" si="102"/>
        <v>121.12918716738429</v>
      </c>
      <c r="P179" s="2"/>
      <c r="Q179" s="2"/>
      <c r="R179" s="2"/>
    </row>
    <row r="180" spans="2:18" s="5" customFormat="1" ht="15" customHeight="1" x14ac:dyDescent="0.45">
      <c r="B180" s="147"/>
      <c r="C180" s="158"/>
      <c r="D180" s="21" t="s">
        <v>22</v>
      </c>
      <c r="E180" s="29"/>
      <c r="F180" s="29"/>
      <c r="G180" s="29"/>
      <c r="H180" s="29"/>
      <c r="I180" s="29">
        <f>SUM(E179:I179)/5</f>
        <v>448.59182098765433</v>
      </c>
      <c r="J180" s="29"/>
      <c r="K180" s="29"/>
      <c r="L180" s="29"/>
      <c r="M180" s="29"/>
      <c r="N180" s="29">
        <f>SUM(E179:N179)/10</f>
        <v>314.4354064163079</v>
      </c>
      <c r="P180" s="2"/>
      <c r="Q180" s="2"/>
      <c r="R180" s="2"/>
    </row>
    <row r="181" spans="2:18" s="5" customFormat="1" ht="15" customHeight="1" x14ac:dyDescent="0.45">
      <c r="B181" s="147"/>
      <c r="C181" s="158"/>
      <c r="D181" s="21" t="s">
        <v>52</v>
      </c>
      <c r="E181" s="29">
        <f>E$128*$C179/20</f>
        <v>625</v>
      </c>
      <c r="F181" s="29">
        <f t="shared" ref="F181:N181" si="103">F$128*$C179/20</f>
        <v>1145.8333333333333</v>
      </c>
      <c r="G181" s="29">
        <f t="shared" si="103"/>
        <v>1579.8611111111118</v>
      </c>
      <c r="H181" s="29">
        <f t="shared" si="103"/>
        <v>1941.5509259259252</v>
      </c>
      <c r="I181" s="29">
        <f t="shared" si="103"/>
        <v>2242.959104938272</v>
      </c>
      <c r="J181" s="29">
        <f t="shared" si="103"/>
        <v>2494.1325874485569</v>
      </c>
      <c r="K181" s="29">
        <f t="shared" si="103"/>
        <v>2703.4438228738009</v>
      </c>
      <c r="L181" s="29">
        <f t="shared" si="103"/>
        <v>2877.8698523948347</v>
      </c>
      <c r="M181" s="29">
        <f t="shared" si="103"/>
        <v>3023.2248769957005</v>
      </c>
      <c r="N181" s="29">
        <f t="shared" si="103"/>
        <v>3144.3540641630739</v>
      </c>
      <c r="P181" s="2"/>
      <c r="Q181" s="2"/>
      <c r="R181" s="2"/>
    </row>
    <row r="182" spans="2:18" s="5" customFormat="1" ht="15" customHeight="1" x14ac:dyDescent="0.45">
      <c r="B182" s="147"/>
      <c r="C182" s="158">
        <v>400000</v>
      </c>
      <c r="D182" s="59" t="s">
        <v>19</v>
      </c>
      <c r="E182" s="29">
        <f>E$127*$C182/20</f>
        <v>12500</v>
      </c>
      <c r="F182" s="29">
        <f t="shared" ref="F182:N182" si="104">F$127*$C182/20</f>
        <v>10416.666666666668</v>
      </c>
      <c r="G182" s="29">
        <f t="shared" si="104"/>
        <v>8680.5555555555566</v>
      </c>
      <c r="H182" s="29">
        <f t="shared" si="104"/>
        <v>7233.7962962962965</v>
      </c>
      <c r="I182" s="29">
        <f t="shared" si="104"/>
        <v>6028.1635802469136</v>
      </c>
      <c r="J182" s="29">
        <f t="shared" si="104"/>
        <v>5023.4696502057614</v>
      </c>
      <c r="K182" s="29">
        <f t="shared" si="104"/>
        <v>4186.2247085048011</v>
      </c>
      <c r="L182" s="29">
        <f t="shared" si="104"/>
        <v>3488.5205904206678</v>
      </c>
      <c r="M182" s="29">
        <f t="shared" si="104"/>
        <v>2907.1004920172231</v>
      </c>
      <c r="N182" s="29">
        <f t="shared" si="104"/>
        <v>2422.5837433476859</v>
      </c>
      <c r="P182" s="2"/>
      <c r="Q182" s="2"/>
      <c r="R182" s="2"/>
    </row>
    <row r="183" spans="2:18" s="5" customFormat="1" ht="15" customHeight="1" x14ac:dyDescent="0.45">
      <c r="B183" s="147"/>
      <c r="C183" s="158"/>
      <c r="D183" s="21" t="s">
        <v>22</v>
      </c>
      <c r="E183" s="29"/>
      <c r="F183" s="29"/>
      <c r="G183" s="29"/>
      <c r="H183" s="29"/>
      <c r="I183" s="29">
        <f>SUM(E182:I182)/5</f>
        <v>8971.8364197530864</v>
      </c>
      <c r="J183" s="29"/>
      <c r="K183" s="29"/>
      <c r="L183" s="29"/>
      <c r="M183" s="29"/>
      <c r="N183" s="29">
        <f>SUM(E182:N182)/10</f>
        <v>6288.7081283261568</v>
      </c>
      <c r="P183" s="2"/>
      <c r="Q183" s="2"/>
      <c r="R183" s="2"/>
    </row>
    <row r="184" spans="2:18" s="5" customFormat="1" ht="15" customHeight="1" x14ac:dyDescent="0.45">
      <c r="B184" s="147"/>
      <c r="C184" s="158"/>
      <c r="D184" s="21" t="s">
        <v>52</v>
      </c>
      <c r="E184" s="29">
        <f>E$128*$C182/20</f>
        <v>12500</v>
      </c>
      <c r="F184" s="29">
        <f t="shared" ref="F184:N184" si="105">F$128*$C182/20</f>
        <v>22916.666666666664</v>
      </c>
      <c r="G184" s="29">
        <f t="shared" si="105"/>
        <v>31597.22222222223</v>
      </c>
      <c r="H184" s="29">
        <f t="shared" si="105"/>
        <v>38831.018518518504</v>
      </c>
      <c r="I184" s="29">
        <f t="shared" si="105"/>
        <v>44859.182098765443</v>
      </c>
      <c r="J184" s="29">
        <f t="shared" si="105"/>
        <v>49882.65174897114</v>
      </c>
      <c r="K184" s="29">
        <f t="shared" si="105"/>
        <v>54068.876457476021</v>
      </c>
      <c r="L184" s="29">
        <f t="shared" si="105"/>
        <v>57557.397047896695</v>
      </c>
      <c r="M184" s="29">
        <f t="shared" si="105"/>
        <v>60464.497539914002</v>
      </c>
      <c r="N184" s="29">
        <f t="shared" si="105"/>
        <v>62887.081283261476</v>
      </c>
      <c r="P184" s="2"/>
      <c r="Q184" s="2"/>
      <c r="R184" s="2"/>
    </row>
    <row r="185" spans="2:18" s="5" customFormat="1" ht="15" customHeight="1" x14ac:dyDescent="0.45">
      <c r="B185" s="147"/>
      <c r="C185" s="159">
        <v>1000000</v>
      </c>
      <c r="D185" s="17" t="s">
        <v>19</v>
      </c>
      <c r="E185" s="99">
        <f>E$127*$C185/20</f>
        <v>31250</v>
      </c>
      <c r="F185" s="99">
        <f t="shared" ref="F185:N185" si="106">F$127*$C185/20</f>
        <v>26041.666666666668</v>
      </c>
      <c r="G185" s="99">
        <f t="shared" si="106"/>
        <v>21701.388888888891</v>
      </c>
      <c r="H185" s="99">
        <f t="shared" si="106"/>
        <v>18084.490740740741</v>
      </c>
      <c r="I185" s="99">
        <f t="shared" si="106"/>
        <v>15070.408950617284</v>
      </c>
      <c r="J185" s="99">
        <f t="shared" si="106"/>
        <v>12558.674125514402</v>
      </c>
      <c r="K185" s="99">
        <f t="shared" si="106"/>
        <v>10465.561771262002</v>
      </c>
      <c r="L185" s="99">
        <f t="shared" si="106"/>
        <v>8721.3014760516708</v>
      </c>
      <c r="M185" s="99">
        <f t="shared" si="106"/>
        <v>7267.7512300430581</v>
      </c>
      <c r="N185" s="99">
        <f t="shared" si="106"/>
        <v>6056.4593583692149</v>
      </c>
      <c r="P185" s="2"/>
      <c r="Q185" s="2"/>
      <c r="R185" s="2"/>
    </row>
    <row r="186" spans="2:18" s="5" customFormat="1" ht="15" customHeight="1" x14ac:dyDescent="0.45">
      <c r="B186" s="147"/>
      <c r="C186" s="159"/>
      <c r="D186" s="17" t="s">
        <v>22</v>
      </c>
      <c r="E186" s="99"/>
      <c r="F186" s="99"/>
      <c r="G186" s="99"/>
      <c r="H186" s="99"/>
      <c r="I186" s="99">
        <f>SUM(E185:I185)/5</f>
        <v>22429.591049382718</v>
      </c>
      <c r="J186" s="99"/>
      <c r="K186" s="99"/>
      <c r="L186" s="99"/>
      <c r="M186" s="99"/>
      <c r="N186" s="99">
        <f>SUM(E185:N185)/10</f>
        <v>15721.770320815394</v>
      </c>
      <c r="P186" s="2"/>
      <c r="Q186" s="2"/>
      <c r="R186" s="2"/>
    </row>
    <row r="187" spans="2:18" s="5" customFormat="1" ht="15" customHeight="1" x14ac:dyDescent="0.45">
      <c r="B187" s="147"/>
      <c r="C187" s="159"/>
      <c r="D187" s="17" t="s">
        <v>52</v>
      </c>
      <c r="E187" s="99">
        <f>E$128*$C185/20</f>
        <v>31250</v>
      </c>
      <c r="F187" s="99">
        <f t="shared" ref="F187:N187" si="107">F$128*$C185/20</f>
        <v>57291.666666666664</v>
      </c>
      <c r="G187" s="99">
        <f t="shared" si="107"/>
        <v>78993.055555555591</v>
      </c>
      <c r="H187" s="99">
        <f t="shared" si="107"/>
        <v>97077.546296296263</v>
      </c>
      <c r="I187" s="99">
        <f t="shared" si="107"/>
        <v>112147.95524691363</v>
      </c>
      <c r="J187" s="99">
        <f t="shared" si="107"/>
        <v>124706.62937242785</v>
      </c>
      <c r="K187" s="99">
        <f t="shared" si="107"/>
        <v>135172.19114369006</v>
      </c>
      <c r="L187" s="99">
        <f t="shared" si="107"/>
        <v>143893.49261974174</v>
      </c>
      <c r="M187" s="99">
        <f t="shared" si="107"/>
        <v>151161.24384978501</v>
      </c>
      <c r="N187" s="99">
        <f t="shared" si="107"/>
        <v>157217.70320815369</v>
      </c>
      <c r="P187" s="2"/>
      <c r="Q187" s="2"/>
      <c r="R187" s="2"/>
    </row>
    <row r="188" spans="2:18" s="5" customFormat="1" ht="15" customHeight="1" x14ac:dyDescent="0.45">
      <c r="B188" s="147"/>
      <c r="C188" s="159">
        <v>2100000</v>
      </c>
      <c r="D188" s="17" t="s">
        <v>19</v>
      </c>
      <c r="E188" s="99">
        <f>E$127*$C188/20</f>
        <v>65625</v>
      </c>
      <c r="F188" s="99">
        <f t="shared" ref="F188:N188" si="108">F$127*$C188/20</f>
        <v>54687.5</v>
      </c>
      <c r="G188" s="99">
        <f t="shared" si="108"/>
        <v>45572.916666666672</v>
      </c>
      <c r="H188" s="99">
        <f t="shared" si="108"/>
        <v>37977.430555555555</v>
      </c>
      <c r="I188" s="99">
        <f t="shared" si="108"/>
        <v>31647.858796296299</v>
      </c>
      <c r="J188" s="99">
        <f t="shared" si="108"/>
        <v>26373.215663580242</v>
      </c>
      <c r="K188" s="99">
        <f t="shared" si="108"/>
        <v>21977.679719650205</v>
      </c>
      <c r="L188" s="99">
        <f t="shared" si="108"/>
        <v>18314.733099708505</v>
      </c>
      <c r="M188" s="99">
        <f t="shared" si="108"/>
        <v>15262.277583090423</v>
      </c>
      <c r="N188" s="99">
        <f t="shared" si="108"/>
        <v>12718.564652575351</v>
      </c>
      <c r="P188" s="2"/>
      <c r="Q188" s="2"/>
      <c r="R188" s="2"/>
    </row>
    <row r="189" spans="2:18" s="5" customFormat="1" ht="15" customHeight="1" x14ac:dyDescent="0.45">
      <c r="B189" s="147"/>
      <c r="C189" s="159"/>
      <c r="D189" s="17" t="s">
        <v>22</v>
      </c>
      <c r="E189" s="99"/>
      <c r="F189" s="99"/>
      <c r="G189" s="99"/>
      <c r="H189" s="99"/>
      <c r="I189" s="99">
        <f>SUM(E188:I188)/5</f>
        <v>47102.141203703708</v>
      </c>
      <c r="J189" s="99"/>
      <c r="K189" s="99"/>
      <c r="L189" s="99"/>
      <c r="M189" s="99"/>
      <c r="N189" s="99">
        <f>SUM(E188:N188)/10</f>
        <v>33015.71767371233</v>
      </c>
      <c r="P189" s="2"/>
      <c r="Q189" s="2"/>
      <c r="R189" s="2"/>
    </row>
    <row r="190" spans="2:18" s="5" customFormat="1" ht="15" customHeight="1" x14ac:dyDescent="0.45">
      <c r="B190" s="147"/>
      <c r="C190" s="159"/>
      <c r="D190" s="17" t="s">
        <v>52</v>
      </c>
      <c r="E190" s="99">
        <f>E$128*$C188/20</f>
        <v>65625</v>
      </c>
      <c r="F190" s="99">
        <f t="shared" ref="F190:N190" si="109">F$128*$C188/20</f>
        <v>120312.5</v>
      </c>
      <c r="G190" s="99">
        <f t="shared" si="109"/>
        <v>165885.41666666672</v>
      </c>
      <c r="H190" s="99">
        <f t="shared" si="109"/>
        <v>203862.84722222213</v>
      </c>
      <c r="I190" s="99">
        <f t="shared" si="109"/>
        <v>235510.70601851857</v>
      </c>
      <c r="J190" s="99">
        <f t="shared" si="109"/>
        <v>261883.92168209847</v>
      </c>
      <c r="K190" s="99">
        <f t="shared" si="109"/>
        <v>283861.60140174913</v>
      </c>
      <c r="L190" s="99">
        <f t="shared" si="109"/>
        <v>302176.33450145763</v>
      </c>
      <c r="M190" s="99">
        <f t="shared" si="109"/>
        <v>317438.61208454857</v>
      </c>
      <c r="N190" s="99">
        <f t="shared" si="109"/>
        <v>330157.17673712276</v>
      </c>
      <c r="P190" s="2"/>
      <c r="Q190" s="2"/>
      <c r="R190" s="2"/>
    </row>
    <row r="191" spans="2:18" s="5" customFormat="1" ht="15" customHeight="1" x14ac:dyDescent="0.45">
      <c r="B191" s="147" t="s">
        <v>18</v>
      </c>
      <c r="C191" s="158">
        <v>20000</v>
      </c>
      <c r="D191" s="59" t="s">
        <v>19</v>
      </c>
      <c r="E191" s="29">
        <f>E155+E167+E179</f>
        <v>1709.9999999999998</v>
      </c>
      <c r="F191" s="29">
        <f t="shared" ref="F191:N191" si="110">F155+F167+F179</f>
        <v>1435.0000000000005</v>
      </c>
      <c r="G191" s="29">
        <f t="shared" si="110"/>
        <v>1205.833333333333</v>
      </c>
      <c r="H191" s="29">
        <f t="shared" si="110"/>
        <v>1014.8611111111113</v>
      </c>
      <c r="I191" s="29">
        <f t="shared" si="110"/>
        <v>855.71759259259238</v>
      </c>
      <c r="J191" s="29">
        <f t="shared" si="110"/>
        <v>723.09799382716096</v>
      </c>
      <c r="K191" s="29">
        <f t="shared" si="110"/>
        <v>612.58166152263357</v>
      </c>
      <c r="L191" s="29">
        <f t="shared" si="110"/>
        <v>520.4847179355279</v>
      </c>
      <c r="M191" s="29">
        <f t="shared" si="110"/>
        <v>443.737264946273</v>
      </c>
      <c r="N191" s="29">
        <f t="shared" si="110"/>
        <v>379.78105412189484</v>
      </c>
      <c r="P191" s="2"/>
      <c r="Q191" s="2"/>
      <c r="R191" s="2"/>
    </row>
    <row r="192" spans="2:18" s="5" customFormat="1" ht="15" customHeight="1" x14ac:dyDescent="0.45">
      <c r="B192" s="147"/>
      <c r="C192" s="158"/>
      <c r="D192" s="21" t="s">
        <v>22</v>
      </c>
      <c r="E192" s="29"/>
      <c r="F192" s="29"/>
      <c r="G192" s="29"/>
      <c r="H192" s="29"/>
      <c r="I192" s="30">
        <f>SUM(E191:I191)/5</f>
        <v>1244.2824074074074</v>
      </c>
      <c r="J192" s="29"/>
      <c r="K192" s="29"/>
      <c r="L192" s="29"/>
      <c r="M192" s="29"/>
      <c r="N192" s="29">
        <f>SUM(E191:N191)/10</f>
        <v>890.10947293905269</v>
      </c>
      <c r="P192" s="2"/>
      <c r="Q192" s="2"/>
      <c r="R192" s="2"/>
    </row>
    <row r="193" spans="2:18" s="5" customFormat="1" ht="15" customHeight="1" x14ac:dyDescent="0.45">
      <c r="B193" s="147"/>
      <c r="C193" s="158"/>
      <c r="D193" s="21" t="s">
        <v>52</v>
      </c>
      <c r="E193" s="29">
        <f>E157+E169+E181</f>
        <v>1709.9999999999998</v>
      </c>
      <c r="F193" s="29">
        <f t="shared" ref="F193:N194" si="111">F157+F169+F181</f>
        <v>3145</v>
      </c>
      <c r="G193" s="29">
        <f t="shared" si="111"/>
        <v>4350.8333333333339</v>
      </c>
      <c r="H193" s="29">
        <f t="shared" si="111"/>
        <v>5365.6944444444434</v>
      </c>
      <c r="I193" s="30">
        <f t="shared" si="111"/>
        <v>6221.4120370370374</v>
      </c>
      <c r="J193" s="29">
        <f t="shared" si="111"/>
        <v>6944.5100308641941</v>
      </c>
      <c r="K193" s="29">
        <f t="shared" si="111"/>
        <v>7557.0916923868326</v>
      </c>
      <c r="L193" s="29">
        <f t="shared" si="111"/>
        <v>8077.576410322361</v>
      </c>
      <c r="M193" s="29">
        <f t="shared" si="111"/>
        <v>8521.3136752686369</v>
      </c>
      <c r="N193" s="29">
        <f t="shared" si="111"/>
        <v>8901.0947293905228</v>
      </c>
      <c r="P193" s="2"/>
      <c r="Q193" s="2"/>
      <c r="R193" s="2"/>
    </row>
    <row r="194" spans="2:18" s="5" customFormat="1" ht="15" customHeight="1" x14ac:dyDescent="0.45">
      <c r="B194" s="147"/>
      <c r="C194" s="158">
        <v>400000</v>
      </c>
      <c r="D194" s="59" t="s">
        <v>19</v>
      </c>
      <c r="E194" s="29">
        <f>E158+E170+E182</f>
        <v>34200</v>
      </c>
      <c r="F194" s="29">
        <f t="shared" si="111"/>
        <v>28700.000000000007</v>
      </c>
      <c r="G194" s="29">
        <f t="shared" si="111"/>
        <v>24116.666666666664</v>
      </c>
      <c r="H194" s="29">
        <f t="shared" si="111"/>
        <v>20297.222222222226</v>
      </c>
      <c r="I194" s="29">
        <f t="shared" si="111"/>
        <v>17114.35185185185</v>
      </c>
      <c r="J194" s="29">
        <f t="shared" si="111"/>
        <v>14461.959876543218</v>
      </c>
      <c r="K194" s="29">
        <f t="shared" si="111"/>
        <v>12251.63323045267</v>
      </c>
      <c r="L194" s="29">
        <f t="shared" si="111"/>
        <v>10409.69435871056</v>
      </c>
      <c r="M194" s="29">
        <f t="shared" si="111"/>
        <v>8874.7452989254598</v>
      </c>
      <c r="N194" s="29">
        <f t="shared" si="111"/>
        <v>7595.6210824378959</v>
      </c>
      <c r="P194" s="2"/>
      <c r="Q194" s="2"/>
      <c r="R194" s="2"/>
    </row>
    <row r="195" spans="2:18" s="5" customFormat="1" ht="15" customHeight="1" x14ac:dyDescent="0.45">
      <c r="B195" s="147"/>
      <c r="C195" s="158"/>
      <c r="D195" s="21" t="s">
        <v>22</v>
      </c>
      <c r="E195" s="29"/>
      <c r="F195" s="29"/>
      <c r="G195" s="29"/>
      <c r="H195" s="29"/>
      <c r="I195" s="30">
        <f>SUM(E194:I194)/5</f>
        <v>24885.648148148153</v>
      </c>
      <c r="J195" s="29"/>
      <c r="K195" s="29"/>
      <c r="L195" s="29"/>
      <c r="M195" s="29"/>
      <c r="N195" s="29">
        <f>SUM(E194:N194)/10</f>
        <v>17802.189458781057</v>
      </c>
      <c r="P195" s="2"/>
      <c r="Q195" s="2"/>
      <c r="R195" s="2"/>
    </row>
    <row r="196" spans="2:18" s="5" customFormat="1" ht="15" customHeight="1" x14ac:dyDescent="0.45">
      <c r="B196" s="147"/>
      <c r="C196" s="158"/>
      <c r="D196" s="21" t="s">
        <v>52</v>
      </c>
      <c r="E196" s="29">
        <f>E160+E172+E184</f>
        <v>34200</v>
      </c>
      <c r="F196" s="29">
        <f t="shared" ref="F196:N197" si="112">F160+F172+F184</f>
        <v>62900</v>
      </c>
      <c r="G196" s="29">
        <f t="shared" si="112"/>
        <v>87016.666666666672</v>
      </c>
      <c r="H196" s="29">
        <f t="shared" si="112"/>
        <v>107313.88888888888</v>
      </c>
      <c r="I196" s="30">
        <f t="shared" si="112"/>
        <v>124428.24074074076</v>
      </c>
      <c r="J196" s="29">
        <f t="shared" si="112"/>
        <v>138890.20061728393</v>
      </c>
      <c r="K196" s="29">
        <f t="shared" si="112"/>
        <v>151141.83384773665</v>
      </c>
      <c r="L196" s="29">
        <f t="shared" si="112"/>
        <v>161551.52820644723</v>
      </c>
      <c r="M196" s="29">
        <f t="shared" si="112"/>
        <v>170426.27350537275</v>
      </c>
      <c r="N196" s="29">
        <f t="shared" si="112"/>
        <v>178021.89458781044</v>
      </c>
      <c r="P196" s="2"/>
      <c r="Q196" s="2"/>
      <c r="R196" s="2"/>
    </row>
    <row r="197" spans="2:18" s="5" customFormat="1" ht="15" customHeight="1" x14ac:dyDescent="0.45">
      <c r="B197" s="147"/>
      <c r="C197" s="159">
        <v>1000000</v>
      </c>
      <c r="D197" s="17" t="s">
        <v>19</v>
      </c>
      <c r="E197" s="31">
        <f>E161+E173+E185</f>
        <v>85500</v>
      </c>
      <c r="F197" s="31">
        <f t="shared" si="112"/>
        <v>71750.000000000015</v>
      </c>
      <c r="G197" s="31">
        <f t="shared" si="112"/>
        <v>60291.66666666665</v>
      </c>
      <c r="H197" s="31">
        <f t="shared" si="112"/>
        <v>50743.055555555562</v>
      </c>
      <c r="I197" s="31">
        <f t="shared" si="112"/>
        <v>42785.87962962962</v>
      </c>
      <c r="J197" s="31">
        <f t="shared" si="112"/>
        <v>36154.899691358049</v>
      </c>
      <c r="K197" s="31">
        <f t="shared" si="112"/>
        <v>30629.083076131676</v>
      </c>
      <c r="L197" s="31">
        <f t="shared" si="112"/>
        <v>26024.235896776398</v>
      </c>
      <c r="M197" s="31">
        <f t="shared" si="112"/>
        <v>22186.863247313649</v>
      </c>
      <c r="N197" s="31">
        <f t="shared" si="112"/>
        <v>18989.052706094739</v>
      </c>
      <c r="P197" s="2"/>
      <c r="Q197" s="2"/>
      <c r="R197" s="2"/>
    </row>
    <row r="198" spans="2:18" s="5" customFormat="1" ht="15" customHeight="1" x14ac:dyDescent="0.45">
      <c r="B198" s="147"/>
      <c r="C198" s="159"/>
      <c r="D198" s="17" t="s">
        <v>22</v>
      </c>
      <c r="E198" s="31"/>
      <c r="F198" s="31"/>
      <c r="G198" s="31"/>
      <c r="H198" s="31"/>
      <c r="I198" s="32">
        <f>SUM(E197:I197)/5</f>
        <v>62214.120370370372</v>
      </c>
      <c r="J198" s="31"/>
      <c r="K198" s="31"/>
      <c r="L198" s="31"/>
      <c r="M198" s="31"/>
      <c r="N198" s="31">
        <f>SUM(E197:N197)/10</f>
        <v>44505.473646952632</v>
      </c>
      <c r="P198" s="2"/>
      <c r="Q198" s="2"/>
      <c r="R198" s="2"/>
    </row>
    <row r="199" spans="2:18" s="5" customFormat="1" ht="15" customHeight="1" x14ac:dyDescent="0.45">
      <c r="B199" s="147"/>
      <c r="C199" s="159"/>
      <c r="D199" s="17" t="s">
        <v>52</v>
      </c>
      <c r="E199" s="31">
        <f>E163+E175+E187</f>
        <v>85500</v>
      </c>
      <c r="F199" s="31">
        <f t="shared" ref="F199:N200" si="113">F163+F175+F187</f>
        <v>157250</v>
      </c>
      <c r="G199" s="31">
        <f t="shared" si="113"/>
        <v>217541.66666666669</v>
      </c>
      <c r="H199" s="31">
        <f t="shared" si="113"/>
        <v>268284.72222222225</v>
      </c>
      <c r="I199" s="32">
        <f t="shared" si="113"/>
        <v>311070.60185185191</v>
      </c>
      <c r="J199" s="31">
        <f t="shared" si="113"/>
        <v>347225.50154320977</v>
      </c>
      <c r="K199" s="31">
        <f t="shared" si="113"/>
        <v>377854.58461934165</v>
      </c>
      <c r="L199" s="31">
        <f t="shared" si="113"/>
        <v>403878.82051611802</v>
      </c>
      <c r="M199" s="31">
        <f t="shared" si="113"/>
        <v>426065.68376343191</v>
      </c>
      <c r="N199" s="31">
        <f t="shared" si="113"/>
        <v>445054.73646952608</v>
      </c>
      <c r="P199" s="2"/>
      <c r="Q199" s="2"/>
      <c r="R199" s="2"/>
    </row>
    <row r="200" spans="2:18" s="5" customFormat="1" ht="15" customHeight="1" x14ac:dyDescent="0.45">
      <c r="B200" s="147"/>
      <c r="C200" s="159">
        <v>2100000</v>
      </c>
      <c r="D200" s="17" t="s">
        <v>19</v>
      </c>
      <c r="E200" s="31">
        <f>E164+E176+E188</f>
        <v>179549.99999999997</v>
      </c>
      <c r="F200" s="31">
        <f t="shared" si="113"/>
        <v>150675.00000000003</v>
      </c>
      <c r="G200" s="31">
        <f t="shared" si="113"/>
        <v>126612.49999999999</v>
      </c>
      <c r="H200" s="31">
        <f t="shared" si="113"/>
        <v>106560.41666666669</v>
      </c>
      <c r="I200" s="31">
        <f t="shared" si="113"/>
        <v>89850.347222222219</v>
      </c>
      <c r="J200" s="31">
        <f t="shared" si="113"/>
        <v>75925.289351851898</v>
      </c>
      <c r="K200" s="31">
        <f t="shared" si="113"/>
        <v>64321.07445987653</v>
      </c>
      <c r="L200" s="31">
        <f t="shared" si="113"/>
        <v>54650.89538323044</v>
      </c>
      <c r="M200" s="31">
        <f t="shared" si="113"/>
        <v>46592.412819358666</v>
      </c>
      <c r="N200" s="31">
        <f t="shared" si="113"/>
        <v>39877.010682798951</v>
      </c>
      <c r="P200" s="2"/>
      <c r="Q200" s="2"/>
      <c r="R200" s="2"/>
    </row>
    <row r="201" spans="2:18" s="5" customFormat="1" ht="15" customHeight="1" x14ac:dyDescent="0.45">
      <c r="B201" s="147"/>
      <c r="C201" s="159"/>
      <c r="D201" s="17" t="s">
        <v>22</v>
      </c>
      <c r="E201" s="31"/>
      <c r="F201" s="31"/>
      <c r="G201" s="31"/>
      <c r="H201" s="31"/>
      <c r="I201" s="32">
        <f>SUM(E200:I200)/5</f>
        <v>130649.6527777778</v>
      </c>
      <c r="J201" s="31"/>
      <c r="K201" s="31"/>
      <c r="L201" s="31"/>
      <c r="M201" s="31"/>
      <c r="N201" s="31">
        <f>SUM(E200:N200)/10</f>
        <v>93461.494658600539</v>
      </c>
      <c r="P201" s="2"/>
      <c r="Q201" s="2"/>
      <c r="R201" s="2"/>
    </row>
    <row r="202" spans="2:18" s="5" customFormat="1" ht="15" customHeight="1" x14ac:dyDescent="0.45">
      <c r="B202" s="147"/>
      <c r="C202" s="159"/>
      <c r="D202" s="17" t="s">
        <v>52</v>
      </c>
      <c r="E202" s="31">
        <f>E166+E178+E190</f>
        <v>179549.99999999997</v>
      </c>
      <c r="F202" s="31">
        <f t="shared" ref="F202:N202" si="114">F166+F178+F190</f>
        <v>330225</v>
      </c>
      <c r="G202" s="31">
        <f t="shared" si="114"/>
        <v>456837.5</v>
      </c>
      <c r="H202" s="31">
        <f t="shared" si="114"/>
        <v>563397.91666666663</v>
      </c>
      <c r="I202" s="32">
        <f t="shared" si="114"/>
        <v>653248.26388888888</v>
      </c>
      <c r="J202" s="31">
        <f t="shared" si="114"/>
        <v>729173.55324074044</v>
      </c>
      <c r="K202" s="31">
        <f t="shared" si="114"/>
        <v>793494.62770061754</v>
      </c>
      <c r="L202" s="31">
        <f t="shared" si="114"/>
        <v>848145.52308384783</v>
      </c>
      <c r="M202" s="31">
        <f t="shared" si="114"/>
        <v>894737.93590320705</v>
      </c>
      <c r="N202" s="31">
        <f t="shared" si="114"/>
        <v>934614.94658600492</v>
      </c>
      <c r="P202" s="2"/>
      <c r="Q202" s="2"/>
      <c r="R202" s="2"/>
    </row>
    <row r="203" spans="2:18" s="5" customFormat="1" ht="15" customHeight="1" x14ac:dyDescent="0.45">
      <c r="B203" s="4"/>
      <c r="C203" s="1"/>
      <c r="D203" s="48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P203" s="2"/>
      <c r="Q203" s="2"/>
      <c r="R203" s="2"/>
    </row>
    <row r="204" spans="2:18" s="5" customFormat="1" ht="15" customHeight="1" x14ac:dyDescent="0.45">
      <c r="B204" s="2"/>
      <c r="C204" s="2"/>
      <c r="D204" s="15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P204" s="2"/>
      <c r="Q204" s="2"/>
      <c r="R204" s="2"/>
    </row>
  </sheetData>
  <mergeCells count="121">
    <mergeCell ref="B191:B202"/>
    <mergeCell ref="C191:C193"/>
    <mergeCell ref="C194:C196"/>
    <mergeCell ref="C197:C199"/>
    <mergeCell ref="C200:C202"/>
    <mergeCell ref="B167:B178"/>
    <mergeCell ref="C167:C169"/>
    <mergeCell ref="C170:C172"/>
    <mergeCell ref="C173:C175"/>
    <mergeCell ref="C176:C178"/>
    <mergeCell ref="B179:B190"/>
    <mergeCell ref="C179:C181"/>
    <mergeCell ref="C182:C184"/>
    <mergeCell ref="C185:C187"/>
    <mergeCell ref="C188:C190"/>
    <mergeCell ref="J153:J154"/>
    <mergeCell ref="K153:K154"/>
    <mergeCell ref="L153:L154"/>
    <mergeCell ref="M153:M154"/>
    <mergeCell ref="N153:N154"/>
    <mergeCell ref="B155:B166"/>
    <mergeCell ref="C155:C157"/>
    <mergeCell ref="C158:C160"/>
    <mergeCell ref="C161:C163"/>
    <mergeCell ref="C164:C166"/>
    <mergeCell ref="D153:D154"/>
    <mergeCell ref="E153:E154"/>
    <mergeCell ref="F153:F154"/>
    <mergeCell ref="G153:G154"/>
    <mergeCell ref="H153:H154"/>
    <mergeCell ref="I153:I154"/>
    <mergeCell ref="B137:B151"/>
    <mergeCell ref="C137:C141"/>
    <mergeCell ref="C142:C146"/>
    <mergeCell ref="C147:C151"/>
    <mergeCell ref="B153:B154"/>
    <mergeCell ref="C153:C154"/>
    <mergeCell ref="B109:B123"/>
    <mergeCell ref="C109:C113"/>
    <mergeCell ref="C114:C118"/>
    <mergeCell ref="C119:C123"/>
    <mergeCell ref="B124:B136"/>
    <mergeCell ref="C124:C128"/>
    <mergeCell ref="C129:C131"/>
    <mergeCell ref="C132:C136"/>
    <mergeCell ref="J94:J95"/>
    <mergeCell ref="K94:K95"/>
    <mergeCell ref="L94:L95"/>
    <mergeCell ref="M94:M95"/>
    <mergeCell ref="N94:N95"/>
    <mergeCell ref="B96:B108"/>
    <mergeCell ref="C96:C100"/>
    <mergeCell ref="C101:C103"/>
    <mergeCell ref="C104:C108"/>
    <mergeCell ref="B94:B95"/>
    <mergeCell ref="E94:E95"/>
    <mergeCell ref="F94:F95"/>
    <mergeCell ref="G94:G95"/>
    <mergeCell ref="H94:H95"/>
    <mergeCell ref="I94:I95"/>
    <mergeCell ref="B63:B77"/>
    <mergeCell ref="C63:C67"/>
    <mergeCell ref="C68:C72"/>
    <mergeCell ref="C73:C77"/>
    <mergeCell ref="B78:B92"/>
    <mergeCell ref="C78:C82"/>
    <mergeCell ref="C83:C87"/>
    <mergeCell ref="C88:C92"/>
    <mergeCell ref="J48:J49"/>
    <mergeCell ref="K48:K49"/>
    <mergeCell ref="L48:L49"/>
    <mergeCell ref="M48:M49"/>
    <mergeCell ref="N48:N49"/>
    <mergeCell ref="B50:B62"/>
    <mergeCell ref="C50:C54"/>
    <mergeCell ref="C55:C57"/>
    <mergeCell ref="C58:C62"/>
    <mergeCell ref="B48:B49"/>
    <mergeCell ref="E48:E49"/>
    <mergeCell ref="F48:F49"/>
    <mergeCell ref="G48:G49"/>
    <mergeCell ref="H48:H49"/>
    <mergeCell ref="I48:I49"/>
    <mergeCell ref="N32:N33"/>
    <mergeCell ref="B34:B46"/>
    <mergeCell ref="C34:C38"/>
    <mergeCell ref="C39:C41"/>
    <mergeCell ref="C42:C46"/>
    <mergeCell ref="B32:B33"/>
    <mergeCell ref="E32:E33"/>
    <mergeCell ref="F32:F33"/>
    <mergeCell ref="G32:G33"/>
    <mergeCell ref="H32:H33"/>
    <mergeCell ref="I32:I33"/>
    <mergeCell ref="B26:B30"/>
    <mergeCell ref="C26:C30"/>
    <mergeCell ref="H14:H15"/>
    <mergeCell ref="I14:I15"/>
    <mergeCell ref="J14:J15"/>
    <mergeCell ref="J32:J33"/>
    <mergeCell ref="K32:K33"/>
    <mergeCell ref="L32:L33"/>
    <mergeCell ref="M32:M33"/>
    <mergeCell ref="B18:B25"/>
    <mergeCell ref="C18:C25"/>
    <mergeCell ref="B16:B17"/>
    <mergeCell ref="C16:C17"/>
    <mergeCell ref="B2:C12"/>
    <mergeCell ref="D2:E3"/>
    <mergeCell ref="G2:I3"/>
    <mergeCell ref="K2:N2"/>
    <mergeCell ref="B14:B15"/>
    <mergeCell ref="C14:C15"/>
    <mergeCell ref="D14:D15"/>
    <mergeCell ref="E14:E15"/>
    <mergeCell ref="F14:F15"/>
    <mergeCell ref="G14:G15"/>
    <mergeCell ref="N14:N15"/>
    <mergeCell ref="K14:K15"/>
    <mergeCell ref="L14:L15"/>
    <mergeCell ref="M14:M15"/>
  </mergeCells>
  <conditionalFormatting sqref="E10">
    <cfRule type="cellIs" dxfId="2" priority="1" operator="lessThan">
      <formula>1</formula>
    </cfRule>
    <cfRule type="cellIs" dxfId="1" priority="2" operator="greaterThan">
      <formula>1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r:id="rId1"/>
  <ignoredErrors>
    <ignoredError sqref="I24 N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89699-E675-4CCE-90DB-2112E8B3FDA9}">
  <dimension ref="A1:N45"/>
  <sheetViews>
    <sheetView zoomScaleNormal="100" workbookViewId="0">
      <selection activeCell="B2" sqref="B2:B3"/>
    </sheetView>
  </sheetViews>
  <sheetFormatPr defaultRowHeight="14.25" x14ac:dyDescent="0.45"/>
  <cols>
    <col min="1" max="1" width="1.73046875" style="2" customWidth="1"/>
    <col min="2" max="2" width="23.86328125" style="2" bestFit="1" customWidth="1"/>
    <col min="3" max="5" width="15.33203125" style="2" customWidth="1"/>
    <col min="6" max="8" width="16.6640625" style="2" customWidth="1"/>
    <col min="9" max="13" width="20.33203125" style="2" customWidth="1"/>
    <col min="14" max="14" width="1.73046875" style="2" customWidth="1"/>
    <col min="15" max="16384" width="9.06640625" style="2"/>
  </cols>
  <sheetData>
    <row r="1" spans="1:14" x14ac:dyDescent="0.45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18.850000000000001" customHeight="1" x14ac:dyDescent="0.45">
      <c r="B2" s="162" t="s">
        <v>98</v>
      </c>
      <c r="C2" s="115"/>
      <c r="D2" s="115"/>
      <c r="E2" s="160" t="s">
        <v>21</v>
      </c>
      <c r="F2" s="116" t="s">
        <v>86</v>
      </c>
      <c r="G2" s="117" t="s">
        <v>87</v>
      </c>
      <c r="H2" s="117" t="s">
        <v>88</v>
      </c>
      <c r="I2" s="116" t="s">
        <v>86</v>
      </c>
      <c r="J2" s="116"/>
      <c r="K2" s="116"/>
      <c r="L2" s="116"/>
      <c r="M2" s="118"/>
      <c r="N2" s="9"/>
    </row>
    <row r="3" spans="1:14" ht="18.399999999999999" customHeight="1" x14ac:dyDescent="0.45">
      <c r="A3" s="9"/>
      <c r="B3" s="163"/>
      <c r="C3" s="119"/>
      <c r="D3" s="119"/>
      <c r="E3" s="161"/>
      <c r="F3" s="120" t="s">
        <v>93</v>
      </c>
      <c r="G3" s="121" t="s">
        <v>94</v>
      </c>
      <c r="H3" s="121" t="s">
        <v>94</v>
      </c>
      <c r="I3" s="120" t="s">
        <v>101</v>
      </c>
      <c r="J3" s="120" t="s">
        <v>102</v>
      </c>
      <c r="K3" s="120" t="s">
        <v>95</v>
      </c>
      <c r="L3" s="120" t="s">
        <v>96</v>
      </c>
      <c r="M3" s="122" t="s">
        <v>113</v>
      </c>
      <c r="N3" s="9"/>
    </row>
    <row r="4" spans="1:14" ht="18.399999999999999" customHeight="1" x14ac:dyDescent="0.45">
      <c r="A4" s="9"/>
      <c r="B4" s="109" t="s">
        <v>97</v>
      </c>
      <c r="C4" s="110" t="s">
        <v>110</v>
      </c>
      <c r="D4" s="110" t="s">
        <v>108</v>
      </c>
      <c r="E4" s="110" t="s">
        <v>103</v>
      </c>
      <c r="F4" s="110" t="s">
        <v>104</v>
      </c>
      <c r="G4" s="110" t="s">
        <v>105</v>
      </c>
      <c r="H4" s="110" t="s">
        <v>106</v>
      </c>
      <c r="I4" s="110" t="s">
        <v>99</v>
      </c>
      <c r="J4" s="110" t="s">
        <v>100</v>
      </c>
      <c r="K4" s="110" t="s">
        <v>89</v>
      </c>
      <c r="L4" s="110" t="s">
        <v>90</v>
      </c>
      <c r="M4" s="111" t="s">
        <v>107</v>
      </c>
      <c r="N4" s="9"/>
    </row>
    <row r="5" spans="1:14" x14ac:dyDescent="0.45">
      <c r="A5" s="9"/>
      <c r="B5" s="103" t="s">
        <v>92</v>
      </c>
      <c r="C5" s="105">
        <v>0.1</v>
      </c>
      <c r="D5" s="105" t="s">
        <v>109</v>
      </c>
      <c r="E5" s="104">
        <v>2</v>
      </c>
      <c r="F5" s="104">
        <v>1</v>
      </c>
      <c r="G5" s="104">
        <f>F5</f>
        <v>1</v>
      </c>
      <c r="H5" s="104">
        <f>E5-F5-G5</f>
        <v>0</v>
      </c>
      <c r="I5" s="105">
        <f>F5/E5</f>
        <v>0.5</v>
      </c>
      <c r="J5" s="105">
        <f>1-I5</f>
        <v>0.5</v>
      </c>
      <c r="K5" s="105">
        <f t="shared" ref="K5:K42" si="0">G5/F5</f>
        <v>1</v>
      </c>
      <c r="L5" s="105">
        <f>H5/F5</f>
        <v>0</v>
      </c>
      <c r="M5" s="106">
        <f>K5+L5</f>
        <v>1</v>
      </c>
      <c r="N5" s="9"/>
    </row>
    <row r="6" spans="1:14" x14ac:dyDescent="0.45">
      <c r="A6" s="9"/>
      <c r="B6" s="103" t="s">
        <v>91</v>
      </c>
      <c r="C6" s="105">
        <v>0.2</v>
      </c>
      <c r="D6" s="105" t="s">
        <v>109</v>
      </c>
      <c r="E6" s="104">
        <v>2</v>
      </c>
      <c r="F6" s="104">
        <v>1</v>
      </c>
      <c r="G6" s="104">
        <f t="shared" ref="G6:G10" si="1">F6</f>
        <v>1</v>
      </c>
      <c r="H6" s="104">
        <f>E6-F6-G6</f>
        <v>0</v>
      </c>
      <c r="I6" s="105">
        <f>F6/E6</f>
        <v>0.5</v>
      </c>
      <c r="J6" s="105">
        <f t="shared" ref="J6:J8" si="2">1-I6</f>
        <v>0.5</v>
      </c>
      <c r="K6" s="105">
        <f t="shared" ref="K6" si="3">G6/F6</f>
        <v>1</v>
      </c>
      <c r="L6" s="105">
        <f t="shared" ref="L6:L8" si="4">H6/F6</f>
        <v>0</v>
      </c>
      <c r="M6" s="106">
        <f t="shared" ref="M6:M8" si="5">K6+L6</f>
        <v>1</v>
      </c>
      <c r="N6" s="9"/>
    </row>
    <row r="7" spans="1:14" x14ac:dyDescent="0.45">
      <c r="A7" s="9"/>
      <c r="B7" s="103" t="str">
        <f>"Luxury " &amp; E7 &amp; "X"</f>
        <v>Luxury 2.5X</v>
      </c>
      <c r="C7" s="105">
        <v>0.3</v>
      </c>
      <c r="D7" s="105">
        <v>7.4999999999999997E-2</v>
      </c>
      <c r="E7" s="104">
        <v>2.5</v>
      </c>
      <c r="F7" s="104">
        <v>1</v>
      </c>
      <c r="G7" s="104">
        <f t="shared" si="1"/>
        <v>1</v>
      </c>
      <c r="H7" s="104">
        <f t="shared" ref="H7:H10" si="6">E7-F7-G7</f>
        <v>0.5</v>
      </c>
      <c r="I7" s="105">
        <f t="shared" ref="I7:I10" si="7">F7/E7</f>
        <v>0.4</v>
      </c>
      <c r="J7" s="105">
        <f t="shared" si="2"/>
        <v>0.6</v>
      </c>
      <c r="K7" s="105">
        <f t="shared" si="0"/>
        <v>1</v>
      </c>
      <c r="L7" s="105">
        <f t="shared" si="4"/>
        <v>0.5</v>
      </c>
      <c r="M7" s="106">
        <f t="shared" si="5"/>
        <v>1.5</v>
      </c>
      <c r="N7" s="9"/>
    </row>
    <row r="8" spans="1:14" x14ac:dyDescent="0.45">
      <c r="A8" s="9"/>
      <c r="B8" s="103" t="str">
        <f t="shared" ref="B8:B10" si="8">"Luxury " &amp; E8 &amp; "X"</f>
        <v>Luxury 3X</v>
      </c>
      <c r="C8" s="105">
        <v>0.3</v>
      </c>
      <c r="D8" s="105">
        <v>7.4999999999999997E-2</v>
      </c>
      <c r="E8" s="104">
        <v>3</v>
      </c>
      <c r="F8" s="104">
        <v>1</v>
      </c>
      <c r="G8" s="104">
        <f t="shared" si="1"/>
        <v>1</v>
      </c>
      <c r="H8" s="104">
        <f t="shared" si="6"/>
        <v>1</v>
      </c>
      <c r="I8" s="105">
        <f t="shared" si="7"/>
        <v>0.33333333333333331</v>
      </c>
      <c r="J8" s="105">
        <f t="shared" si="2"/>
        <v>0.66666666666666674</v>
      </c>
      <c r="K8" s="105">
        <f t="shared" si="0"/>
        <v>1</v>
      </c>
      <c r="L8" s="105">
        <f t="shared" si="4"/>
        <v>1</v>
      </c>
      <c r="M8" s="106">
        <f t="shared" si="5"/>
        <v>2</v>
      </c>
      <c r="N8" s="9"/>
    </row>
    <row r="9" spans="1:14" x14ac:dyDescent="0.45">
      <c r="A9" s="9"/>
      <c r="B9" s="107" t="str">
        <f t="shared" si="8"/>
        <v>Luxury 3.5X</v>
      </c>
      <c r="C9" s="69">
        <v>0.3</v>
      </c>
      <c r="D9" s="69">
        <v>7.4999999999999997E-2</v>
      </c>
      <c r="E9" s="112">
        <v>3.5</v>
      </c>
      <c r="F9" s="113">
        <v>1</v>
      </c>
      <c r="G9" s="113">
        <f t="shared" si="1"/>
        <v>1</v>
      </c>
      <c r="H9" s="113">
        <f t="shared" si="6"/>
        <v>1.5</v>
      </c>
      <c r="I9" s="114">
        <f t="shared" si="7"/>
        <v>0.2857142857142857</v>
      </c>
      <c r="J9" s="114">
        <f>1-I9</f>
        <v>0.7142857142857143</v>
      </c>
      <c r="K9" s="114">
        <f t="shared" si="0"/>
        <v>1</v>
      </c>
      <c r="L9" s="68">
        <f>H9/F9</f>
        <v>1.5</v>
      </c>
      <c r="M9" s="68">
        <f>K9+L9</f>
        <v>2.5</v>
      </c>
      <c r="N9" s="9"/>
    </row>
    <row r="10" spans="1:14" x14ac:dyDescent="0.45">
      <c r="A10" s="9"/>
      <c r="B10" s="107" t="str">
        <f t="shared" si="8"/>
        <v>Luxury 4X</v>
      </c>
      <c r="C10" s="69">
        <v>0.3</v>
      </c>
      <c r="D10" s="69">
        <v>7.4999999999999997E-2</v>
      </c>
      <c r="E10" s="112">
        <v>4</v>
      </c>
      <c r="F10" s="113">
        <v>1</v>
      </c>
      <c r="G10" s="113">
        <f t="shared" si="1"/>
        <v>1</v>
      </c>
      <c r="H10" s="113">
        <f t="shared" si="6"/>
        <v>2</v>
      </c>
      <c r="I10" s="114">
        <f t="shared" si="7"/>
        <v>0.25</v>
      </c>
      <c r="J10" s="114">
        <f t="shared" ref="J10:J42" si="9">1-I10</f>
        <v>0.75</v>
      </c>
      <c r="K10" s="114">
        <f t="shared" si="0"/>
        <v>1</v>
      </c>
      <c r="L10" s="68">
        <f t="shared" ref="L10:L42" si="10">H10/F10</f>
        <v>2</v>
      </c>
      <c r="M10" s="68">
        <f t="shared" ref="M10:M42" si="11">K10+L10</f>
        <v>3</v>
      </c>
      <c r="N10" s="9"/>
    </row>
    <row r="11" spans="1:14" x14ac:dyDescent="0.45">
      <c r="A11" s="9"/>
      <c r="B11" s="107" t="str">
        <f>"Luxury " &amp; E11 &amp; "X"</f>
        <v>Luxury 4.5X</v>
      </c>
      <c r="C11" s="69">
        <v>0.3</v>
      </c>
      <c r="D11" s="69">
        <v>7.4999999999999997E-2</v>
      </c>
      <c r="E11" s="107">
        <v>4.5</v>
      </c>
      <c r="F11" s="107">
        <v>1</v>
      </c>
      <c r="G11" s="107">
        <f>F11</f>
        <v>1</v>
      </c>
      <c r="H11" s="107">
        <f>E11-F11-G11</f>
        <v>2.5</v>
      </c>
      <c r="I11" s="69">
        <f>F11/E11</f>
        <v>0.22222222222222221</v>
      </c>
      <c r="J11" s="114">
        <f t="shared" si="9"/>
        <v>0.77777777777777779</v>
      </c>
      <c r="K11" s="69">
        <f t="shared" si="0"/>
        <v>1</v>
      </c>
      <c r="L11" s="68">
        <f t="shared" si="10"/>
        <v>2.5</v>
      </c>
      <c r="M11" s="68">
        <f t="shared" si="11"/>
        <v>3.5</v>
      </c>
      <c r="N11" s="9"/>
    </row>
    <row r="12" spans="1:14" x14ac:dyDescent="0.45">
      <c r="A12" s="9"/>
      <c r="B12" s="107" t="str">
        <f t="shared" ref="B12:B42" si="12">"Luxury " &amp; E12 &amp; "X"</f>
        <v>Luxury 5X</v>
      </c>
      <c r="C12" s="69">
        <v>0.3</v>
      </c>
      <c r="D12" s="69">
        <v>7.4999999999999997E-2</v>
      </c>
      <c r="E12" s="107">
        <v>5</v>
      </c>
      <c r="F12" s="107">
        <v>1</v>
      </c>
      <c r="G12" s="107">
        <f t="shared" ref="G12:G42" si="13">F12</f>
        <v>1</v>
      </c>
      <c r="H12" s="107">
        <f t="shared" ref="H12:H42" si="14">E12-F12-G12</f>
        <v>3</v>
      </c>
      <c r="I12" s="69">
        <f t="shared" ref="I12:I42" si="15">F12/E12</f>
        <v>0.2</v>
      </c>
      <c r="J12" s="114">
        <f t="shared" si="9"/>
        <v>0.8</v>
      </c>
      <c r="K12" s="69">
        <f t="shared" si="0"/>
        <v>1</v>
      </c>
      <c r="L12" s="68">
        <f t="shared" si="10"/>
        <v>3</v>
      </c>
      <c r="M12" s="68">
        <f t="shared" si="11"/>
        <v>4</v>
      </c>
      <c r="N12" s="9"/>
    </row>
    <row r="13" spans="1:14" x14ac:dyDescent="0.45">
      <c r="A13" s="9"/>
      <c r="B13" s="107" t="str">
        <f t="shared" si="12"/>
        <v>Luxury 5.5X</v>
      </c>
      <c r="C13" s="69">
        <v>0.3</v>
      </c>
      <c r="D13" s="69">
        <v>7.4999999999999997E-2</v>
      </c>
      <c r="E13" s="107">
        <v>5.5</v>
      </c>
      <c r="F13" s="107">
        <v>1</v>
      </c>
      <c r="G13" s="107">
        <f t="shared" si="13"/>
        <v>1</v>
      </c>
      <c r="H13" s="107">
        <f t="shared" si="14"/>
        <v>3.5</v>
      </c>
      <c r="I13" s="69">
        <f t="shared" si="15"/>
        <v>0.18181818181818182</v>
      </c>
      <c r="J13" s="114">
        <f t="shared" si="9"/>
        <v>0.81818181818181812</v>
      </c>
      <c r="K13" s="69">
        <f t="shared" si="0"/>
        <v>1</v>
      </c>
      <c r="L13" s="68">
        <f t="shared" si="10"/>
        <v>3.5</v>
      </c>
      <c r="M13" s="68">
        <f t="shared" si="11"/>
        <v>4.5</v>
      </c>
      <c r="N13" s="9"/>
    </row>
    <row r="14" spans="1:14" x14ac:dyDescent="0.45">
      <c r="A14" s="9"/>
      <c r="B14" s="107" t="str">
        <f t="shared" si="12"/>
        <v>Luxury 6X</v>
      </c>
      <c r="C14" s="69">
        <v>0.3</v>
      </c>
      <c r="D14" s="69">
        <v>7.4999999999999997E-2</v>
      </c>
      <c r="E14" s="107">
        <v>6</v>
      </c>
      <c r="F14" s="107">
        <v>1</v>
      </c>
      <c r="G14" s="107">
        <f t="shared" si="13"/>
        <v>1</v>
      </c>
      <c r="H14" s="107">
        <f t="shared" si="14"/>
        <v>4</v>
      </c>
      <c r="I14" s="69">
        <f t="shared" si="15"/>
        <v>0.16666666666666666</v>
      </c>
      <c r="J14" s="114">
        <f t="shared" si="9"/>
        <v>0.83333333333333337</v>
      </c>
      <c r="K14" s="69">
        <f t="shared" si="0"/>
        <v>1</v>
      </c>
      <c r="L14" s="68">
        <f t="shared" si="10"/>
        <v>4</v>
      </c>
      <c r="M14" s="68">
        <f t="shared" si="11"/>
        <v>5</v>
      </c>
      <c r="N14" s="9"/>
    </row>
    <row r="15" spans="1:14" x14ac:dyDescent="0.45">
      <c r="A15" s="9"/>
      <c r="B15" s="107" t="str">
        <f t="shared" si="12"/>
        <v>Luxury 6.5X</v>
      </c>
      <c r="C15" s="69">
        <v>0.3</v>
      </c>
      <c r="D15" s="69">
        <v>7.4999999999999997E-2</v>
      </c>
      <c r="E15" s="107">
        <v>6.5</v>
      </c>
      <c r="F15" s="107">
        <v>1</v>
      </c>
      <c r="G15" s="107">
        <f t="shared" si="13"/>
        <v>1</v>
      </c>
      <c r="H15" s="107">
        <f t="shared" si="14"/>
        <v>4.5</v>
      </c>
      <c r="I15" s="69">
        <f t="shared" si="15"/>
        <v>0.15384615384615385</v>
      </c>
      <c r="J15" s="114">
        <f t="shared" si="9"/>
        <v>0.84615384615384615</v>
      </c>
      <c r="K15" s="69">
        <f t="shared" si="0"/>
        <v>1</v>
      </c>
      <c r="L15" s="68">
        <f t="shared" si="10"/>
        <v>4.5</v>
      </c>
      <c r="M15" s="68">
        <f t="shared" si="11"/>
        <v>5.5</v>
      </c>
      <c r="N15" s="9"/>
    </row>
    <row r="16" spans="1:14" x14ac:dyDescent="0.45">
      <c r="A16" s="9"/>
      <c r="B16" s="107" t="str">
        <f t="shared" si="12"/>
        <v>Luxury 7X</v>
      </c>
      <c r="C16" s="69">
        <v>0.3</v>
      </c>
      <c r="D16" s="69">
        <v>7.4999999999999997E-2</v>
      </c>
      <c r="E16" s="107">
        <v>7</v>
      </c>
      <c r="F16" s="107">
        <v>1</v>
      </c>
      <c r="G16" s="107">
        <f t="shared" si="13"/>
        <v>1</v>
      </c>
      <c r="H16" s="107">
        <f t="shared" si="14"/>
        <v>5</v>
      </c>
      <c r="I16" s="69">
        <f t="shared" si="15"/>
        <v>0.14285714285714285</v>
      </c>
      <c r="J16" s="114">
        <f t="shared" si="9"/>
        <v>0.85714285714285721</v>
      </c>
      <c r="K16" s="69">
        <f t="shared" si="0"/>
        <v>1</v>
      </c>
      <c r="L16" s="68">
        <f t="shared" si="10"/>
        <v>5</v>
      </c>
      <c r="M16" s="68">
        <f t="shared" si="11"/>
        <v>6</v>
      </c>
      <c r="N16" s="9"/>
    </row>
    <row r="17" spans="1:14" x14ac:dyDescent="0.45">
      <c r="A17" s="9"/>
      <c r="B17" s="107" t="str">
        <f t="shared" si="12"/>
        <v>Luxury 7.5X</v>
      </c>
      <c r="C17" s="69">
        <v>0.3</v>
      </c>
      <c r="D17" s="69">
        <v>7.4999999999999997E-2</v>
      </c>
      <c r="E17" s="107">
        <v>7.5</v>
      </c>
      <c r="F17" s="107">
        <v>1</v>
      </c>
      <c r="G17" s="107">
        <f t="shared" si="13"/>
        <v>1</v>
      </c>
      <c r="H17" s="107">
        <f t="shared" si="14"/>
        <v>5.5</v>
      </c>
      <c r="I17" s="69">
        <f t="shared" si="15"/>
        <v>0.13333333333333333</v>
      </c>
      <c r="J17" s="114">
        <f t="shared" si="9"/>
        <v>0.8666666666666667</v>
      </c>
      <c r="K17" s="69">
        <f t="shared" si="0"/>
        <v>1</v>
      </c>
      <c r="L17" s="68">
        <f t="shared" si="10"/>
        <v>5.5</v>
      </c>
      <c r="M17" s="68">
        <f t="shared" si="11"/>
        <v>6.5</v>
      </c>
      <c r="N17" s="9"/>
    </row>
    <row r="18" spans="1:14" x14ac:dyDescent="0.45">
      <c r="A18" s="9"/>
      <c r="B18" s="107" t="str">
        <f t="shared" si="12"/>
        <v>Luxury 8X</v>
      </c>
      <c r="C18" s="69">
        <v>0.3</v>
      </c>
      <c r="D18" s="69">
        <v>7.4999999999999997E-2</v>
      </c>
      <c r="E18" s="107">
        <v>8</v>
      </c>
      <c r="F18" s="107">
        <v>1</v>
      </c>
      <c r="G18" s="107">
        <f t="shared" si="13"/>
        <v>1</v>
      </c>
      <c r="H18" s="107">
        <f t="shared" si="14"/>
        <v>6</v>
      </c>
      <c r="I18" s="69">
        <f t="shared" si="15"/>
        <v>0.125</v>
      </c>
      <c r="J18" s="114">
        <f t="shared" si="9"/>
        <v>0.875</v>
      </c>
      <c r="K18" s="69">
        <f t="shared" si="0"/>
        <v>1</v>
      </c>
      <c r="L18" s="68">
        <f t="shared" si="10"/>
        <v>6</v>
      </c>
      <c r="M18" s="68">
        <f t="shared" si="11"/>
        <v>7</v>
      </c>
      <c r="N18" s="9"/>
    </row>
    <row r="19" spans="1:14" x14ac:dyDescent="0.45">
      <c r="A19" s="9"/>
      <c r="B19" s="107" t="str">
        <f t="shared" si="12"/>
        <v>Luxury 8.5X</v>
      </c>
      <c r="C19" s="69">
        <v>0.3</v>
      </c>
      <c r="D19" s="69">
        <v>7.4999999999999997E-2</v>
      </c>
      <c r="E19" s="107">
        <v>8.5</v>
      </c>
      <c r="F19" s="107">
        <v>1</v>
      </c>
      <c r="G19" s="107">
        <f t="shared" si="13"/>
        <v>1</v>
      </c>
      <c r="H19" s="107">
        <f t="shared" si="14"/>
        <v>6.5</v>
      </c>
      <c r="I19" s="69">
        <f t="shared" si="15"/>
        <v>0.11764705882352941</v>
      </c>
      <c r="J19" s="114">
        <f t="shared" si="9"/>
        <v>0.88235294117647056</v>
      </c>
      <c r="K19" s="69">
        <f t="shared" si="0"/>
        <v>1</v>
      </c>
      <c r="L19" s="68">
        <f t="shared" si="10"/>
        <v>6.5</v>
      </c>
      <c r="M19" s="68">
        <f t="shared" si="11"/>
        <v>7.5</v>
      </c>
      <c r="N19" s="9"/>
    </row>
    <row r="20" spans="1:14" x14ac:dyDescent="0.45">
      <c r="A20" s="9"/>
      <c r="B20" s="107" t="str">
        <f t="shared" si="12"/>
        <v>Luxury 9X</v>
      </c>
      <c r="C20" s="69">
        <v>0.3</v>
      </c>
      <c r="D20" s="69">
        <v>7.4999999999999997E-2</v>
      </c>
      <c r="E20" s="107">
        <v>9</v>
      </c>
      <c r="F20" s="107">
        <v>1</v>
      </c>
      <c r="G20" s="107">
        <f t="shared" si="13"/>
        <v>1</v>
      </c>
      <c r="H20" s="107">
        <f t="shared" si="14"/>
        <v>7</v>
      </c>
      <c r="I20" s="69">
        <f t="shared" si="15"/>
        <v>0.1111111111111111</v>
      </c>
      <c r="J20" s="114">
        <f t="shared" si="9"/>
        <v>0.88888888888888884</v>
      </c>
      <c r="K20" s="69">
        <f t="shared" si="0"/>
        <v>1</v>
      </c>
      <c r="L20" s="68">
        <f t="shared" si="10"/>
        <v>7</v>
      </c>
      <c r="M20" s="68">
        <f t="shared" si="11"/>
        <v>8</v>
      </c>
      <c r="N20" s="9"/>
    </row>
    <row r="21" spans="1:14" x14ac:dyDescent="0.45">
      <c r="A21" s="9"/>
      <c r="B21" s="107" t="str">
        <f t="shared" si="12"/>
        <v>Luxury 9.5X</v>
      </c>
      <c r="C21" s="69">
        <v>0.3</v>
      </c>
      <c r="D21" s="69">
        <v>7.4999999999999997E-2</v>
      </c>
      <c r="E21" s="107">
        <v>9.5</v>
      </c>
      <c r="F21" s="107">
        <v>1</v>
      </c>
      <c r="G21" s="107">
        <f t="shared" si="13"/>
        <v>1</v>
      </c>
      <c r="H21" s="107">
        <f t="shared" si="14"/>
        <v>7.5</v>
      </c>
      <c r="I21" s="69">
        <f t="shared" si="15"/>
        <v>0.10526315789473684</v>
      </c>
      <c r="J21" s="114">
        <f t="shared" si="9"/>
        <v>0.89473684210526316</v>
      </c>
      <c r="K21" s="69">
        <f t="shared" si="0"/>
        <v>1</v>
      </c>
      <c r="L21" s="68">
        <f t="shared" si="10"/>
        <v>7.5</v>
      </c>
      <c r="M21" s="68">
        <f t="shared" si="11"/>
        <v>8.5</v>
      </c>
      <c r="N21" s="9"/>
    </row>
    <row r="22" spans="1:14" x14ac:dyDescent="0.45">
      <c r="A22" s="9"/>
      <c r="B22" s="107" t="str">
        <f t="shared" si="12"/>
        <v>Luxury 10X</v>
      </c>
      <c r="C22" s="69">
        <v>0.3</v>
      </c>
      <c r="D22" s="69">
        <v>7.4999999999999997E-2</v>
      </c>
      <c r="E22" s="107">
        <v>10</v>
      </c>
      <c r="F22" s="107">
        <v>1</v>
      </c>
      <c r="G22" s="107">
        <f t="shared" si="13"/>
        <v>1</v>
      </c>
      <c r="H22" s="107">
        <f t="shared" si="14"/>
        <v>8</v>
      </c>
      <c r="I22" s="69">
        <f t="shared" si="15"/>
        <v>0.1</v>
      </c>
      <c r="J22" s="114">
        <f t="shared" si="9"/>
        <v>0.9</v>
      </c>
      <c r="K22" s="69">
        <f t="shared" si="0"/>
        <v>1</v>
      </c>
      <c r="L22" s="68">
        <f t="shared" si="10"/>
        <v>8</v>
      </c>
      <c r="M22" s="68">
        <f t="shared" si="11"/>
        <v>9</v>
      </c>
      <c r="N22" s="9"/>
    </row>
    <row r="23" spans="1:14" x14ac:dyDescent="0.45">
      <c r="A23" s="9"/>
      <c r="B23" s="107" t="str">
        <f t="shared" si="12"/>
        <v>Luxury 10.5X</v>
      </c>
      <c r="C23" s="69">
        <v>0.3</v>
      </c>
      <c r="D23" s="69">
        <v>7.4999999999999997E-2</v>
      </c>
      <c r="E23" s="107">
        <v>10.5</v>
      </c>
      <c r="F23" s="107">
        <v>1</v>
      </c>
      <c r="G23" s="107">
        <f t="shared" si="13"/>
        <v>1</v>
      </c>
      <c r="H23" s="107">
        <f t="shared" si="14"/>
        <v>8.5</v>
      </c>
      <c r="I23" s="69">
        <f t="shared" si="15"/>
        <v>9.5238095238095233E-2</v>
      </c>
      <c r="J23" s="114">
        <f t="shared" si="9"/>
        <v>0.90476190476190477</v>
      </c>
      <c r="K23" s="69">
        <f t="shared" si="0"/>
        <v>1</v>
      </c>
      <c r="L23" s="68">
        <f t="shared" si="10"/>
        <v>8.5</v>
      </c>
      <c r="M23" s="68">
        <f t="shared" si="11"/>
        <v>9.5</v>
      </c>
      <c r="N23" s="9"/>
    </row>
    <row r="24" spans="1:14" x14ac:dyDescent="0.45">
      <c r="A24" s="9"/>
      <c r="B24" s="107" t="str">
        <f t="shared" si="12"/>
        <v>Luxury 11X</v>
      </c>
      <c r="C24" s="69">
        <v>0.3</v>
      </c>
      <c r="D24" s="69">
        <v>7.4999999999999997E-2</v>
      </c>
      <c r="E24" s="107">
        <v>11</v>
      </c>
      <c r="F24" s="107">
        <v>1</v>
      </c>
      <c r="G24" s="107">
        <f t="shared" si="13"/>
        <v>1</v>
      </c>
      <c r="H24" s="107">
        <f t="shared" si="14"/>
        <v>9</v>
      </c>
      <c r="I24" s="69">
        <f t="shared" si="15"/>
        <v>9.0909090909090912E-2</v>
      </c>
      <c r="J24" s="114">
        <f t="shared" si="9"/>
        <v>0.90909090909090906</v>
      </c>
      <c r="K24" s="69">
        <f t="shared" si="0"/>
        <v>1</v>
      </c>
      <c r="L24" s="68">
        <f t="shared" si="10"/>
        <v>9</v>
      </c>
      <c r="M24" s="68">
        <f t="shared" si="11"/>
        <v>10</v>
      </c>
      <c r="N24" s="9"/>
    </row>
    <row r="25" spans="1:14" x14ac:dyDescent="0.45">
      <c r="A25" s="9"/>
      <c r="B25" s="107" t="str">
        <f t="shared" si="12"/>
        <v>Luxury 11.5X</v>
      </c>
      <c r="C25" s="69">
        <v>0.3</v>
      </c>
      <c r="D25" s="69">
        <v>7.4999999999999997E-2</v>
      </c>
      <c r="E25" s="107">
        <v>11.5</v>
      </c>
      <c r="F25" s="107">
        <v>1</v>
      </c>
      <c r="G25" s="107">
        <f t="shared" si="13"/>
        <v>1</v>
      </c>
      <c r="H25" s="107">
        <f t="shared" si="14"/>
        <v>9.5</v>
      </c>
      <c r="I25" s="69">
        <f t="shared" si="15"/>
        <v>8.6956521739130432E-2</v>
      </c>
      <c r="J25" s="114">
        <f t="shared" si="9"/>
        <v>0.91304347826086962</v>
      </c>
      <c r="K25" s="69">
        <f t="shared" si="0"/>
        <v>1</v>
      </c>
      <c r="L25" s="68">
        <f t="shared" si="10"/>
        <v>9.5</v>
      </c>
      <c r="M25" s="68">
        <f t="shared" si="11"/>
        <v>10.5</v>
      </c>
      <c r="N25" s="9"/>
    </row>
    <row r="26" spans="1:14" x14ac:dyDescent="0.45">
      <c r="A26" s="9"/>
      <c r="B26" s="107" t="str">
        <f t="shared" si="12"/>
        <v>Luxury 12X</v>
      </c>
      <c r="C26" s="69">
        <v>0.3</v>
      </c>
      <c r="D26" s="69">
        <v>7.4999999999999997E-2</v>
      </c>
      <c r="E26" s="107">
        <v>12</v>
      </c>
      <c r="F26" s="107">
        <v>1</v>
      </c>
      <c r="G26" s="107">
        <f t="shared" si="13"/>
        <v>1</v>
      </c>
      <c r="H26" s="107">
        <f t="shared" si="14"/>
        <v>10</v>
      </c>
      <c r="I26" s="69">
        <f t="shared" si="15"/>
        <v>8.3333333333333329E-2</v>
      </c>
      <c r="J26" s="114">
        <f t="shared" si="9"/>
        <v>0.91666666666666663</v>
      </c>
      <c r="K26" s="69">
        <f t="shared" si="0"/>
        <v>1</v>
      </c>
      <c r="L26" s="68">
        <f t="shared" si="10"/>
        <v>10</v>
      </c>
      <c r="M26" s="68">
        <f t="shared" si="11"/>
        <v>11</v>
      </c>
      <c r="N26" s="9"/>
    </row>
    <row r="27" spans="1:14" x14ac:dyDescent="0.45">
      <c r="A27" s="9"/>
      <c r="B27" s="107" t="str">
        <f t="shared" si="12"/>
        <v>Luxury 12.5X</v>
      </c>
      <c r="C27" s="69">
        <v>0.3</v>
      </c>
      <c r="D27" s="69">
        <v>7.4999999999999997E-2</v>
      </c>
      <c r="E27" s="107">
        <v>12.5</v>
      </c>
      <c r="F27" s="107">
        <v>1</v>
      </c>
      <c r="G27" s="107">
        <f t="shared" si="13"/>
        <v>1</v>
      </c>
      <c r="H27" s="107">
        <f t="shared" si="14"/>
        <v>10.5</v>
      </c>
      <c r="I27" s="69">
        <f t="shared" si="15"/>
        <v>0.08</v>
      </c>
      <c r="J27" s="114">
        <f t="shared" si="9"/>
        <v>0.92</v>
      </c>
      <c r="K27" s="69">
        <f t="shared" si="0"/>
        <v>1</v>
      </c>
      <c r="L27" s="68">
        <f t="shared" si="10"/>
        <v>10.5</v>
      </c>
      <c r="M27" s="68">
        <f t="shared" si="11"/>
        <v>11.5</v>
      </c>
      <c r="N27" s="9"/>
    </row>
    <row r="28" spans="1:14" x14ac:dyDescent="0.45">
      <c r="A28" s="9"/>
      <c r="B28" s="107" t="str">
        <f t="shared" si="12"/>
        <v>Luxury 13X</v>
      </c>
      <c r="C28" s="69">
        <v>0.3</v>
      </c>
      <c r="D28" s="69">
        <v>7.4999999999999997E-2</v>
      </c>
      <c r="E28" s="107">
        <v>13</v>
      </c>
      <c r="F28" s="107">
        <v>1</v>
      </c>
      <c r="G28" s="107">
        <f t="shared" si="13"/>
        <v>1</v>
      </c>
      <c r="H28" s="107">
        <f t="shared" si="14"/>
        <v>11</v>
      </c>
      <c r="I28" s="69">
        <f t="shared" si="15"/>
        <v>7.6923076923076927E-2</v>
      </c>
      <c r="J28" s="114">
        <f t="shared" si="9"/>
        <v>0.92307692307692313</v>
      </c>
      <c r="K28" s="69">
        <f t="shared" si="0"/>
        <v>1</v>
      </c>
      <c r="L28" s="68">
        <f t="shared" si="10"/>
        <v>11</v>
      </c>
      <c r="M28" s="68">
        <f t="shared" si="11"/>
        <v>12</v>
      </c>
      <c r="N28" s="9"/>
    </row>
    <row r="29" spans="1:14" x14ac:dyDescent="0.45">
      <c r="A29" s="9"/>
      <c r="B29" s="107" t="str">
        <f t="shared" si="12"/>
        <v>Luxury 13.5X</v>
      </c>
      <c r="C29" s="69">
        <v>0.3</v>
      </c>
      <c r="D29" s="69">
        <v>7.4999999999999997E-2</v>
      </c>
      <c r="E29" s="107">
        <v>13.5</v>
      </c>
      <c r="F29" s="107">
        <v>1</v>
      </c>
      <c r="G29" s="107">
        <f t="shared" si="13"/>
        <v>1</v>
      </c>
      <c r="H29" s="107">
        <f t="shared" si="14"/>
        <v>11.5</v>
      </c>
      <c r="I29" s="69">
        <f t="shared" si="15"/>
        <v>7.407407407407407E-2</v>
      </c>
      <c r="J29" s="114">
        <f t="shared" si="9"/>
        <v>0.92592592592592593</v>
      </c>
      <c r="K29" s="69">
        <f t="shared" si="0"/>
        <v>1</v>
      </c>
      <c r="L29" s="68">
        <f t="shared" si="10"/>
        <v>11.5</v>
      </c>
      <c r="M29" s="68">
        <f t="shared" si="11"/>
        <v>12.5</v>
      </c>
      <c r="N29" s="9"/>
    </row>
    <row r="30" spans="1:14" x14ac:dyDescent="0.45">
      <c r="A30" s="9"/>
      <c r="B30" s="107" t="str">
        <f t="shared" si="12"/>
        <v>Luxury 14X</v>
      </c>
      <c r="C30" s="69">
        <v>0.3</v>
      </c>
      <c r="D30" s="69">
        <v>7.4999999999999997E-2</v>
      </c>
      <c r="E30" s="107">
        <v>14</v>
      </c>
      <c r="F30" s="107">
        <v>1</v>
      </c>
      <c r="G30" s="107">
        <f t="shared" si="13"/>
        <v>1</v>
      </c>
      <c r="H30" s="107">
        <f t="shared" si="14"/>
        <v>12</v>
      </c>
      <c r="I30" s="69">
        <f t="shared" si="15"/>
        <v>7.1428571428571425E-2</v>
      </c>
      <c r="J30" s="114">
        <f t="shared" si="9"/>
        <v>0.9285714285714286</v>
      </c>
      <c r="K30" s="69">
        <f t="shared" si="0"/>
        <v>1</v>
      </c>
      <c r="L30" s="68">
        <f t="shared" si="10"/>
        <v>12</v>
      </c>
      <c r="M30" s="68">
        <f t="shared" si="11"/>
        <v>13</v>
      </c>
      <c r="N30" s="9"/>
    </row>
    <row r="31" spans="1:14" x14ac:dyDescent="0.45">
      <c r="A31" s="9"/>
      <c r="B31" s="107" t="str">
        <f t="shared" si="12"/>
        <v>Luxury 14.5X</v>
      </c>
      <c r="C31" s="69">
        <v>0.3</v>
      </c>
      <c r="D31" s="69">
        <v>7.4999999999999997E-2</v>
      </c>
      <c r="E31" s="107">
        <v>14.5</v>
      </c>
      <c r="F31" s="107">
        <v>1</v>
      </c>
      <c r="G31" s="107">
        <f t="shared" si="13"/>
        <v>1</v>
      </c>
      <c r="H31" s="107">
        <f t="shared" si="14"/>
        <v>12.5</v>
      </c>
      <c r="I31" s="69">
        <f t="shared" si="15"/>
        <v>6.8965517241379309E-2</v>
      </c>
      <c r="J31" s="114">
        <f t="shared" si="9"/>
        <v>0.93103448275862066</v>
      </c>
      <c r="K31" s="69">
        <f t="shared" si="0"/>
        <v>1</v>
      </c>
      <c r="L31" s="68">
        <f t="shared" si="10"/>
        <v>12.5</v>
      </c>
      <c r="M31" s="68">
        <f t="shared" si="11"/>
        <v>13.5</v>
      </c>
      <c r="N31" s="9"/>
    </row>
    <row r="32" spans="1:14" x14ac:dyDescent="0.45">
      <c r="A32" s="9"/>
      <c r="B32" s="107" t="str">
        <f t="shared" si="12"/>
        <v>Luxury 15X</v>
      </c>
      <c r="C32" s="69">
        <v>0.3</v>
      </c>
      <c r="D32" s="69">
        <v>7.4999999999999997E-2</v>
      </c>
      <c r="E32" s="107">
        <v>15</v>
      </c>
      <c r="F32" s="107">
        <v>1</v>
      </c>
      <c r="G32" s="107">
        <f t="shared" si="13"/>
        <v>1</v>
      </c>
      <c r="H32" s="107">
        <f t="shared" si="14"/>
        <v>13</v>
      </c>
      <c r="I32" s="69">
        <f t="shared" si="15"/>
        <v>6.6666666666666666E-2</v>
      </c>
      <c r="J32" s="114">
        <f t="shared" si="9"/>
        <v>0.93333333333333335</v>
      </c>
      <c r="K32" s="69">
        <f t="shared" si="0"/>
        <v>1</v>
      </c>
      <c r="L32" s="68">
        <f t="shared" si="10"/>
        <v>13</v>
      </c>
      <c r="M32" s="68">
        <f t="shared" si="11"/>
        <v>14</v>
      </c>
      <c r="N32" s="9"/>
    </row>
    <row r="33" spans="1:14" x14ac:dyDescent="0.45">
      <c r="A33" s="9"/>
      <c r="B33" s="107" t="str">
        <f t="shared" si="12"/>
        <v>Luxury 15.5X</v>
      </c>
      <c r="C33" s="69">
        <v>0.3</v>
      </c>
      <c r="D33" s="69">
        <v>7.4999999999999997E-2</v>
      </c>
      <c r="E33" s="107">
        <v>15.5</v>
      </c>
      <c r="F33" s="107">
        <v>1</v>
      </c>
      <c r="G33" s="107">
        <f t="shared" si="13"/>
        <v>1</v>
      </c>
      <c r="H33" s="107">
        <f t="shared" si="14"/>
        <v>13.5</v>
      </c>
      <c r="I33" s="69">
        <f t="shared" si="15"/>
        <v>6.4516129032258063E-2</v>
      </c>
      <c r="J33" s="114">
        <f t="shared" si="9"/>
        <v>0.93548387096774199</v>
      </c>
      <c r="K33" s="69">
        <f t="shared" si="0"/>
        <v>1</v>
      </c>
      <c r="L33" s="68">
        <f t="shared" si="10"/>
        <v>13.5</v>
      </c>
      <c r="M33" s="68">
        <f t="shared" si="11"/>
        <v>14.5</v>
      </c>
      <c r="N33" s="9"/>
    </row>
    <row r="34" spans="1:14" x14ac:dyDescent="0.45">
      <c r="A34" s="9"/>
      <c r="B34" s="107" t="str">
        <f t="shared" si="12"/>
        <v>Luxury 16X</v>
      </c>
      <c r="C34" s="69">
        <v>0.3</v>
      </c>
      <c r="D34" s="69">
        <v>7.4999999999999997E-2</v>
      </c>
      <c r="E34" s="107">
        <v>16</v>
      </c>
      <c r="F34" s="107">
        <v>1</v>
      </c>
      <c r="G34" s="107">
        <f t="shared" si="13"/>
        <v>1</v>
      </c>
      <c r="H34" s="107">
        <f t="shared" si="14"/>
        <v>14</v>
      </c>
      <c r="I34" s="69">
        <f t="shared" si="15"/>
        <v>6.25E-2</v>
      </c>
      <c r="J34" s="114">
        <f t="shared" si="9"/>
        <v>0.9375</v>
      </c>
      <c r="K34" s="69">
        <f t="shared" si="0"/>
        <v>1</v>
      </c>
      <c r="L34" s="68">
        <f t="shared" si="10"/>
        <v>14</v>
      </c>
      <c r="M34" s="68">
        <f t="shared" si="11"/>
        <v>15</v>
      </c>
      <c r="N34" s="9"/>
    </row>
    <row r="35" spans="1:14" x14ac:dyDescent="0.45">
      <c r="A35" s="9"/>
      <c r="B35" s="107" t="str">
        <f t="shared" si="12"/>
        <v>Luxury 16.5X</v>
      </c>
      <c r="C35" s="69">
        <v>0.3</v>
      </c>
      <c r="D35" s="69">
        <v>7.4999999999999997E-2</v>
      </c>
      <c r="E35" s="107">
        <v>16.5</v>
      </c>
      <c r="F35" s="107">
        <v>1</v>
      </c>
      <c r="G35" s="107">
        <f t="shared" si="13"/>
        <v>1</v>
      </c>
      <c r="H35" s="107">
        <f t="shared" si="14"/>
        <v>14.5</v>
      </c>
      <c r="I35" s="69">
        <f t="shared" si="15"/>
        <v>6.0606060606060608E-2</v>
      </c>
      <c r="J35" s="114">
        <f t="shared" si="9"/>
        <v>0.93939393939393945</v>
      </c>
      <c r="K35" s="69">
        <f t="shared" si="0"/>
        <v>1</v>
      </c>
      <c r="L35" s="68">
        <f t="shared" si="10"/>
        <v>14.5</v>
      </c>
      <c r="M35" s="68">
        <f t="shared" si="11"/>
        <v>15.5</v>
      </c>
      <c r="N35" s="9"/>
    </row>
    <row r="36" spans="1:14" x14ac:dyDescent="0.45">
      <c r="A36" s="9"/>
      <c r="B36" s="107" t="str">
        <f t="shared" si="12"/>
        <v>Luxury 17X</v>
      </c>
      <c r="C36" s="69">
        <v>0.3</v>
      </c>
      <c r="D36" s="69">
        <v>7.4999999999999997E-2</v>
      </c>
      <c r="E36" s="107">
        <v>17</v>
      </c>
      <c r="F36" s="107">
        <v>1</v>
      </c>
      <c r="G36" s="107">
        <f t="shared" si="13"/>
        <v>1</v>
      </c>
      <c r="H36" s="107">
        <f t="shared" si="14"/>
        <v>15</v>
      </c>
      <c r="I36" s="69">
        <f t="shared" si="15"/>
        <v>5.8823529411764705E-2</v>
      </c>
      <c r="J36" s="114">
        <f t="shared" si="9"/>
        <v>0.94117647058823528</v>
      </c>
      <c r="K36" s="69">
        <f t="shared" si="0"/>
        <v>1</v>
      </c>
      <c r="L36" s="68">
        <f t="shared" si="10"/>
        <v>15</v>
      </c>
      <c r="M36" s="68">
        <f t="shared" si="11"/>
        <v>16</v>
      </c>
      <c r="N36" s="9"/>
    </row>
    <row r="37" spans="1:14" x14ac:dyDescent="0.45">
      <c r="A37" s="9"/>
      <c r="B37" s="107" t="str">
        <f t="shared" si="12"/>
        <v>Luxury 17.5X</v>
      </c>
      <c r="C37" s="69">
        <v>0.3</v>
      </c>
      <c r="D37" s="69">
        <v>7.4999999999999997E-2</v>
      </c>
      <c r="E37" s="107">
        <v>17.5</v>
      </c>
      <c r="F37" s="107">
        <v>1</v>
      </c>
      <c r="G37" s="107">
        <f t="shared" si="13"/>
        <v>1</v>
      </c>
      <c r="H37" s="107">
        <f t="shared" si="14"/>
        <v>15.5</v>
      </c>
      <c r="I37" s="69">
        <f t="shared" si="15"/>
        <v>5.7142857142857141E-2</v>
      </c>
      <c r="J37" s="114">
        <f t="shared" si="9"/>
        <v>0.94285714285714284</v>
      </c>
      <c r="K37" s="69">
        <f t="shared" si="0"/>
        <v>1</v>
      </c>
      <c r="L37" s="68">
        <f t="shared" si="10"/>
        <v>15.5</v>
      </c>
      <c r="M37" s="68">
        <f t="shared" si="11"/>
        <v>16.5</v>
      </c>
      <c r="N37" s="9"/>
    </row>
    <row r="38" spans="1:14" x14ac:dyDescent="0.45">
      <c r="A38" s="9"/>
      <c r="B38" s="107" t="str">
        <f t="shared" si="12"/>
        <v>Luxury 18X</v>
      </c>
      <c r="C38" s="69">
        <v>0.3</v>
      </c>
      <c r="D38" s="69">
        <v>7.4999999999999997E-2</v>
      </c>
      <c r="E38" s="107">
        <v>18</v>
      </c>
      <c r="F38" s="107">
        <v>1</v>
      </c>
      <c r="G38" s="107">
        <f t="shared" si="13"/>
        <v>1</v>
      </c>
      <c r="H38" s="107">
        <f t="shared" si="14"/>
        <v>16</v>
      </c>
      <c r="I38" s="69">
        <f t="shared" si="15"/>
        <v>5.5555555555555552E-2</v>
      </c>
      <c r="J38" s="114">
        <f t="shared" si="9"/>
        <v>0.94444444444444442</v>
      </c>
      <c r="K38" s="69">
        <f t="shared" si="0"/>
        <v>1</v>
      </c>
      <c r="L38" s="68">
        <f t="shared" si="10"/>
        <v>16</v>
      </c>
      <c r="M38" s="68">
        <f t="shared" si="11"/>
        <v>17</v>
      </c>
      <c r="N38" s="9"/>
    </row>
    <row r="39" spans="1:14" x14ac:dyDescent="0.45">
      <c r="A39" s="9"/>
      <c r="B39" s="107" t="str">
        <f t="shared" si="12"/>
        <v>Luxury 18.5X</v>
      </c>
      <c r="C39" s="69">
        <v>0.3</v>
      </c>
      <c r="D39" s="69">
        <v>7.4999999999999997E-2</v>
      </c>
      <c r="E39" s="107">
        <v>18.5</v>
      </c>
      <c r="F39" s="107">
        <v>1</v>
      </c>
      <c r="G39" s="107">
        <f t="shared" si="13"/>
        <v>1</v>
      </c>
      <c r="H39" s="107">
        <f t="shared" si="14"/>
        <v>16.5</v>
      </c>
      <c r="I39" s="69">
        <f t="shared" si="15"/>
        <v>5.4054054054054057E-2</v>
      </c>
      <c r="J39" s="114">
        <f t="shared" si="9"/>
        <v>0.94594594594594594</v>
      </c>
      <c r="K39" s="69">
        <f t="shared" si="0"/>
        <v>1</v>
      </c>
      <c r="L39" s="68">
        <f t="shared" si="10"/>
        <v>16.5</v>
      </c>
      <c r="M39" s="68">
        <f t="shared" si="11"/>
        <v>17.5</v>
      </c>
      <c r="N39" s="9"/>
    </row>
    <row r="40" spans="1:14" x14ac:dyDescent="0.45">
      <c r="A40" s="9"/>
      <c r="B40" s="107" t="str">
        <f t="shared" si="12"/>
        <v>Luxury 19X</v>
      </c>
      <c r="C40" s="69">
        <v>0.3</v>
      </c>
      <c r="D40" s="69">
        <v>7.4999999999999997E-2</v>
      </c>
      <c r="E40" s="107">
        <v>19</v>
      </c>
      <c r="F40" s="107">
        <v>1</v>
      </c>
      <c r="G40" s="107">
        <f t="shared" si="13"/>
        <v>1</v>
      </c>
      <c r="H40" s="107">
        <f t="shared" si="14"/>
        <v>17</v>
      </c>
      <c r="I40" s="69">
        <f t="shared" si="15"/>
        <v>5.2631578947368418E-2</v>
      </c>
      <c r="J40" s="114">
        <f t="shared" si="9"/>
        <v>0.94736842105263164</v>
      </c>
      <c r="K40" s="69">
        <f t="shared" si="0"/>
        <v>1</v>
      </c>
      <c r="L40" s="68">
        <f t="shared" si="10"/>
        <v>17</v>
      </c>
      <c r="M40" s="68">
        <f t="shared" si="11"/>
        <v>18</v>
      </c>
      <c r="N40" s="9"/>
    </row>
    <row r="41" spans="1:14" x14ac:dyDescent="0.45">
      <c r="A41" s="9"/>
      <c r="B41" s="107" t="str">
        <f t="shared" si="12"/>
        <v>Luxury 19.5X</v>
      </c>
      <c r="C41" s="69">
        <v>0.3</v>
      </c>
      <c r="D41" s="69">
        <v>7.4999999999999997E-2</v>
      </c>
      <c r="E41" s="107">
        <v>19.5</v>
      </c>
      <c r="F41" s="107">
        <v>1</v>
      </c>
      <c r="G41" s="107">
        <f t="shared" si="13"/>
        <v>1</v>
      </c>
      <c r="H41" s="107">
        <f t="shared" si="14"/>
        <v>17.5</v>
      </c>
      <c r="I41" s="69">
        <f t="shared" si="15"/>
        <v>5.128205128205128E-2</v>
      </c>
      <c r="J41" s="114">
        <f t="shared" si="9"/>
        <v>0.94871794871794868</v>
      </c>
      <c r="K41" s="69">
        <f t="shared" si="0"/>
        <v>1</v>
      </c>
      <c r="L41" s="68">
        <f t="shared" si="10"/>
        <v>17.5</v>
      </c>
      <c r="M41" s="68">
        <f t="shared" si="11"/>
        <v>18.5</v>
      </c>
      <c r="N41" s="9"/>
    </row>
    <row r="42" spans="1:14" x14ac:dyDescent="0.45">
      <c r="A42" s="9"/>
      <c r="B42" s="107" t="str">
        <f t="shared" si="12"/>
        <v>Luxury 20X</v>
      </c>
      <c r="C42" s="69">
        <v>0.3</v>
      </c>
      <c r="D42" s="69">
        <v>7.4999999999999997E-2</v>
      </c>
      <c r="E42" s="107">
        <v>20</v>
      </c>
      <c r="F42" s="107">
        <v>1</v>
      </c>
      <c r="G42" s="107">
        <f t="shared" si="13"/>
        <v>1</v>
      </c>
      <c r="H42" s="107">
        <f t="shared" si="14"/>
        <v>18</v>
      </c>
      <c r="I42" s="69">
        <f t="shared" si="15"/>
        <v>0.05</v>
      </c>
      <c r="J42" s="114">
        <f t="shared" si="9"/>
        <v>0.95</v>
      </c>
      <c r="K42" s="69">
        <f t="shared" si="0"/>
        <v>1</v>
      </c>
      <c r="L42" s="68">
        <f t="shared" si="10"/>
        <v>18</v>
      </c>
      <c r="M42" s="68">
        <f t="shared" si="11"/>
        <v>19</v>
      </c>
      <c r="N42" s="9"/>
    </row>
    <row r="43" spans="1:14" x14ac:dyDescent="0.45">
      <c r="A43" s="9"/>
      <c r="B43" s="4"/>
      <c r="C43" s="4"/>
      <c r="D43" s="4"/>
      <c r="E43" s="4"/>
      <c r="F43" s="4"/>
      <c r="G43" s="4"/>
      <c r="H43" s="4"/>
      <c r="I43" s="108"/>
      <c r="J43" s="108"/>
      <c r="K43" s="108"/>
      <c r="L43" s="108"/>
      <c r="M43" s="108"/>
      <c r="N43" s="9"/>
    </row>
    <row r="44" spans="1:14" x14ac:dyDescent="0.45">
      <c r="I44" s="13"/>
      <c r="J44" s="13"/>
      <c r="K44" s="13"/>
      <c r="L44" s="13"/>
      <c r="M44" s="13"/>
    </row>
    <row r="45" spans="1:14" x14ac:dyDescent="0.45">
      <c r="I45" s="13"/>
      <c r="J45" s="13"/>
      <c r="K45" s="13"/>
      <c r="L45" s="13"/>
      <c r="M45" s="13"/>
    </row>
  </sheetData>
  <mergeCells count="2">
    <mergeCell ref="E2:E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A8B3-4D3D-4488-B4BF-24906CFC65EC}">
  <dimension ref="A1:N42"/>
  <sheetViews>
    <sheetView zoomScaleNormal="100" workbookViewId="0">
      <selection activeCell="B2" sqref="B2:B8"/>
    </sheetView>
  </sheetViews>
  <sheetFormatPr defaultRowHeight="15" customHeight="1" x14ac:dyDescent="0.45"/>
  <cols>
    <col min="1" max="1" width="1.73046875" style="2" customWidth="1"/>
    <col min="2" max="2" width="40.9296875" style="2" customWidth="1"/>
    <col min="3" max="3" width="24.1328125" style="2" bestFit="1" customWidth="1"/>
    <col min="4" max="13" width="13.6640625" style="2" customWidth="1"/>
    <col min="14" max="14" width="1.6640625" style="2" customWidth="1"/>
    <col min="15" max="15" width="14.46484375" style="2" customWidth="1"/>
    <col min="16" max="16" width="1.53125" style="2" customWidth="1"/>
    <col min="17" max="16384" width="9.06640625" style="2"/>
  </cols>
  <sheetData>
    <row r="1" spans="1:14" ht="15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2"/>
    </row>
    <row r="2" spans="1:14" ht="15" customHeight="1" x14ac:dyDescent="0.45">
      <c r="A2" s="5"/>
      <c r="B2" s="126" t="s">
        <v>80</v>
      </c>
      <c r="C2" s="137" t="s">
        <v>28</v>
      </c>
      <c r="D2" s="130"/>
      <c r="E2" s="6"/>
      <c r="F2" s="164" t="s">
        <v>23</v>
      </c>
      <c r="G2" s="164"/>
      <c r="H2" s="164"/>
      <c r="I2" s="164"/>
      <c r="J2" s="7"/>
      <c r="K2" s="7"/>
      <c r="L2" s="7"/>
      <c r="M2" s="7"/>
      <c r="N2" s="5"/>
    </row>
    <row r="3" spans="1:14" ht="15" customHeight="1" x14ac:dyDescent="0.45">
      <c r="A3" s="5"/>
      <c r="B3" s="126"/>
      <c r="C3" s="131"/>
      <c r="D3" s="132"/>
      <c r="E3" s="6"/>
      <c r="F3" s="164"/>
      <c r="G3" s="164"/>
      <c r="H3" s="164"/>
      <c r="I3" s="164"/>
      <c r="J3" s="7"/>
      <c r="K3" s="7"/>
      <c r="L3" s="7"/>
      <c r="M3" s="7"/>
      <c r="N3" s="5"/>
    </row>
    <row r="4" spans="1:14" ht="15" customHeight="1" x14ac:dyDescent="0.45">
      <c r="A4" s="5"/>
      <c r="B4" s="126"/>
      <c r="C4" s="37" t="s">
        <v>2</v>
      </c>
      <c r="D4" s="38">
        <v>100000</v>
      </c>
      <c r="E4" s="6"/>
      <c r="F4" s="74" t="s">
        <v>24</v>
      </c>
      <c r="G4" s="60"/>
      <c r="H4" s="76"/>
      <c r="I4" s="86">
        <v>314.25</v>
      </c>
      <c r="J4" s="7"/>
      <c r="K4" s="7"/>
      <c r="L4" s="7"/>
      <c r="M4" s="7"/>
      <c r="N4" s="5"/>
    </row>
    <row r="5" spans="1:14" ht="15" customHeight="1" x14ac:dyDescent="0.45">
      <c r="A5" s="5"/>
      <c r="B5" s="126"/>
      <c r="C5" s="7"/>
      <c r="D5" s="7"/>
      <c r="E5" s="5"/>
      <c r="F5" s="74" t="s">
        <v>25</v>
      </c>
      <c r="G5" s="60"/>
      <c r="H5" s="76"/>
      <c r="I5" s="87">
        <v>42005</v>
      </c>
      <c r="J5" s="7"/>
      <c r="K5" s="7"/>
      <c r="L5" s="7"/>
      <c r="M5" s="7"/>
      <c r="N5" s="5"/>
    </row>
    <row r="6" spans="1:14" ht="15" customHeight="1" x14ac:dyDescent="0.45">
      <c r="A6" s="5"/>
      <c r="B6" s="126"/>
      <c r="C6" s="7"/>
      <c r="D6" s="7"/>
      <c r="E6" s="5"/>
      <c r="F6" s="74" t="s">
        <v>26</v>
      </c>
      <c r="G6" s="60"/>
      <c r="H6" s="76"/>
      <c r="I6" s="86">
        <v>94443.520000000004</v>
      </c>
      <c r="J6" s="7"/>
      <c r="K6" s="7"/>
      <c r="L6" s="7"/>
      <c r="M6" s="7"/>
      <c r="N6" s="5"/>
    </row>
    <row r="7" spans="1:14" ht="15" customHeight="1" x14ac:dyDescent="0.45">
      <c r="A7" s="5"/>
      <c r="B7" s="126"/>
      <c r="C7" s="7"/>
      <c r="D7" s="7"/>
      <c r="E7" s="5"/>
      <c r="F7" s="74" t="s">
        <v>27</v>
      </c>
      <c r="G7" s="60"/>
      <c r="H7" s="76"/>
      <c r="I7" s="87">
        <v>45658</v>
      </c>
      <c r="J7" s="7"/>
      <c r="K7" s="7"/>
      <c r="L7" s="7"/>
      <c r="M7" s="7"/>
      <c r="N7" s="5"/>
    </row>
    <row r="8" spans="1:14" ht="15" customHeight="1" x14ac:dyDescent="0.45">
      <c r="A8" s="61"/>
      <c r="B8" s="128"/>
      <c r="C8" s="7"/>
      <c r="D8" s="7"/>
      <c r="F8" s="21" t="s">
        <v>29</v>
      </c>
      <c r="G8" s="60"/>
      <c r="H8" s="76"/>
      <c r="I8" s="75">
        <f>(I6/I4)^(1/DATEDIF(I5,I7,"Y"))-1</f>
        <v>0.76925197017405411</v>
      </c>
      <c r="J8" s="7"/>
      <c r="K8" s="7"/>
      <c r="L8" s="7"/>
      <c r="M8" s="7"/>
      <c r="N8" s="5"/>
    </row>
    <row r="9" spans="1:14" ht="15" customHeight="1" x14ac:dyDescent="0.45">
      <c r="A9" s="1"/>
      <c r="B9" s="1"/>
      <c r="C9" s="77"/>
      <c r="D9" s="7"/>
      <c r="E9" s="6"/>
      <c r="F9" s="7"/>
      <c r="G9" s="7"/>
      <c r="H9" s="7"/>
      <c r="I9" s="7"/>
      <c r="J9" s="7"/>
      <c r="K9" s="7"/>
      <c r="L9" s="7"/>
      <c r="M9" s="7"/>
      <c r="N9" s="5"/>
    </row>
    <row r="10" spans="1:14" ht="30" customHeight="1" x14ac:dyDescent="0.45">
      <c r="A10" s="5"/>
      <c r="B10" s="88" t="s">
        <v>68</v>
      </c>
      <c r="C10" s="89"/>
      <c r="D10" s="138" t="s">
        <v>3</v>
      </c>
      <c r="E10" s="138" t="s">
        <v>4</v>
      </c>
      <c r="F10" s="138" t="s">
        <v>5</v>
      </c>
      <c r="G10" s="138" t="s">
        <v>6</v>
      </c>
      <c r="H10" s="138" t="s">
        <v>7</v>
      </c>
      <c r="I10" s="138" t="s">
        <v>8</v>
      </c>
      <c r="J10" s="138" t="s">
        <v>9</v>
      </c>
      <c r="K10" s="138" t="s">
        <v>10</v>
      </c>
      <c r="L10" s="138" t="s">
        <v>11</v>
      </c>
      <c r="M10" s="138" t="s">
        <v>12</v>
      </c>
      <c r="N10" s="8"/>
    </row>
    <row r="11" spans="1:14" ht="30" customHeight="1" x14ac:dyDescent="0.45">
      <c r="A11" s="5"/>
      <c r="B11" s="46" t="s">
        <v>30</v>
      </c>
      <c r="C11" s="46" t="s">
        <v>63</v>
      </c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5"/>
    </row>
    <row r="12" spans="1:14" ht="15" customHeight="1" x14ac:dyDescent="0.45">
      <c r="A12" s="5"/>
      <c r="B12" s="165">
        <v>0.2</v>
      </c>
      <c r="C12" s="72" t="s">
        <v>0</v>
      </c>
      <c r="D12" s="62">
        <f>($D$4 * $B12) + $D$4</f>
        <v>120000</v>
      </c>
      <c r="E12" s="63">
        <f>(D12 * $B12) + D12</f>
        <v>144000</v>
      </c>
      <c r="F12" s="63">
        <f t="shared" ref="F12:M12" si="0">(E12 * $B12) + E12</f>
        <v>172800</v>
      </c>
      <c r="G12" s="63">
        <f t="shared" si="0"/>
        <v>207360</v>
      </c>
      <c r="H12" s="63">
        <f t="shared" si="0"/>
        <v>248832</v>
      </c>
      <c r="I12" s="63">
        <f t="shared" si="0"/>
        <v>298598.40000000002</v>
      </c>
      <c r="J12" s="63">
        <f t="shared" si="0"/>
        <v>358318.08000000002</v>
      </c>
      <c r="K12" s="63">
        <f t="shared" si="0"/>
        <v>429981.696</v>
      </c>
      <c r="L12" s="63">
        <f t="shared" si="0"/>
        <v>515978.03519999998</v>
      </c>
      <c r="M12" s="63">
        <f t="shared" si="0"/>
        <v>619173.64223999996</v>
      </c>
      <c r="N12" s="9"/>
    </row>
    <row r="13" spans="1:14" ht="15" customHeight="1" x14ac:dyDescent="0.45">
      <c r="A13" s="5"/>
      <c r="B13" s="165"/>
      <c r="C13" s="71" t="s">
        <v>1</v>
      </c>
      <c r="D13" s="64">
        <f>D12*21000000</f>
        <v>2520000000000</v>
      </c>
      <c r="E13" s="65">
        <f t="shared" ref="E13:M13" si="1">E12*21000000</f>
        <v>3024000000000</v>
      </c>
      <c r="F13" s="65">
        <f t="shared" si="1"/>
        <v>3628800000000</v>
      </c>
      <c r="G13" s="65">
        <f t="shared" si="1"/>
        <v>4354560000000</v>
      </c>
      <c r="H13" s="65">
        <f t="shared" si="1"/>
        <v>5225472000000</v>
      </c>
      <c r="I13" s="65">
        <f t="shared" si="1"/>
        <v>6270566400000.001</v>
      </c>
      <c r="J13" s="65">
        <f t="shared" si="1"/>
        <v>7524679680000</v>
      </c>
      <c r="K13" s="65">
        <f t="shared" si="1"/>
        <v>9029615616000</v>
      </c>
      <c r="L13" s="65">
        <f t="shared" si="1"/>
        <v>10835538739200</v>
      </c>
      <c r="M13" s="65">
        <f t="shared" si="1"/>
        <v>13002646487040</v>
      </c>
      <c r="N13" s="9"/>
    </row>
    <row r="14" spans="1:14" ht="15" customHeight="1" x14ac:dyDescent="0.45">
      <c r="A14" s="5"/>
      <c r="B14" s="165"/>
      <c r="C14" s="73" t="s">
        <v>14</v>
      </c>
      <c r="D14" s="66">
        <f>( ( D12 - $D$4 ) ) / D12</f>
        <v>0.16666666666666666</v>
      </c>
      <c r="E14" s="66">
        <f t="shared" ref="E14:M14" si="2">( ( E12 - $D$4 ) ) / E12</f>
        <v>0.30555555555555558</v>
      </c>
      <c r="F14" s="66">
        <f t="shared" si="2"/>
        <v>0.42129629629629628</v>
      </c>
      <c r="G14" s="66">
        <f t="shared" si="2"/>
        <v>0.51774691358024694</v>
      </c>
      <c r="H14" s="67">
        <f t="shared" si="2"/>
        <v>0.5981224279835391</v>
      </c>
      <c r="I14" s="66">
        <f t="shared" si="2"/>
        <v>0.66510202331961599</v>
      </c>
      <c r="J14" s="66">
        <f t="shared" si="2"/>
        <v>0.72091835276634664</v>
      </c>
      <c r="K14" s="66">
        <f t="shared" si="2"/>
        <v>0.76743196063862218</v>
      </c>
      <c r="L14" s="66">
        <f t="shared" si="2"/>
        <v>0.80619330053218508</v>
      </c>
      <c r="M14" s="66">
        <f t="shared" si="2"/>
        <v>0.83849441711015427</v>
      </c>
      <c r="N14" s="10"/>
    </row>
    <row r="15" spans="1:14" ht="15" customHeight="1" x14ac:dyDescent="0.45">
      <c r="A15" s="5"/>
      <c r="B15" s="165"/>
      <c r="C15" s="73" t="s">
        <v>13</v>
      </c>
      <c r="D15" s="66">
        <f>1-D14</f>
        <v>0.83333333333333337</v>
      </c>
      <c r="E15" s="66">
        <f t="shared" ref="E15:M15" si="3">1-E14</f>
        <v>0.69444444444444442</v>
      </c>
      <c r="F15" s="66">
        <f t="shared" si="3"/>
        <v>0.57870370370370372</v>
      </c>
      <c r="G15" s="66">
        <f t="shared" si="3"/>
        <v>0.48225308641975306</v>
      </c>
      <c r="H15" s="67">
        <f t="shared" si="3"/>
        <v>0.4018775720164609</v>
      </c>
      <c r="I15" s="66">
        <f t="shared" si="3"/>
        <v>0.33489797668038401</v>
      </c>
      <c r="J15" s="66">
        <f t="shared" si="3"/>
        <v>0.27908164723365336</v>
      </c>
      <c r="K15" s="66">
        <f t="shared" si="3"/>
        <v>0.23256803936137782</v>
      </c>
      <c r="L15" s="66">
        <f t="shared" si="3"/>
        <v>0.19380669946781492</v>
      </c>
      <c r="M15" s="66">
        <f t="shared" si="3"/>
        <v>0.16150558288984573</v>
      </c>
      <c r="N15" s="10"/>
    </row>
    <row r="16" spans="1:14" ht="15" customHeight="1" x14ac:dyDescent="0.45">
      <c r="A16" s="5"/>
      <c r="B16" s="165"/>
      <c r="C16" s="71" t="s">
        <v>15</v>
      </c>
      <c r="D16" s="68">
        <f>D14</f>
        <v>0.16666666666666666</v>
      </c>
      <c r="E16" s="69">
        <f>E14-D14</f>
        <v>0.13888888888888892</v>
      </c>
      <c r="F16" s="69">
        <f>F14-E14</f>
        <v>0.1157407407407407</v>
      </c>
      <c r="G16" s="69">
        <f t="shared" ref="G16:M16" si="4">G14-F14</f>
        <v>9.6450617283950657E-2</v>
      </c>
      <c r="H16" s="69">
        <f t="shared" si="4"/>
        <v>8.0375514403292159E-2</v>
      </c>
      <c r="I16" s="69">
        <f t="shared" si="4"/>
        <v>6.6979595336076891E-2</v>
      </c>
      <c r="J16" s="69">
        <f t="shared" si="4"/>
        <v>5.581632944673065E-2</v>
      </c>
      <c r="K16" s="69">
        <f t="shared" si="4"/>
        <v>4.6513607872275542E-2</v>
      </c>
      <c r="L16" s="69">
        <f t="shared" si="4"/>
        <v>3.8761339893562896E-2</v>
      </c>
      <c r="M16" s="69">
        <f t="shared" si="4"/>
        <v>3.2301116577969191E-2</v>
      </c>
      <c r="N16" s="9"/>
    </row>
    <row r="17" spans="1:14" ht="15" customHeight="1" x14ac:dyDescent="0.45">
      <c r="A17" s="5"/>
      <c r="B17" s="168"/>
      <c r="C17" s="71" t="s">
        <v>31</v>
      </c>
      <c r="D17" s="68"/>
      <c r="E17" s="69"/>
      <c r="F17" s="69"/>
      <c r="G17" s="69"/>
      <c r="H17" s="69">
        <f>SUM(D16:H16)/5</f>
        <v>0.11962448559670782</v>
      </c>
      <c r="I17" s="70"/>
      <c r="J17" s="70"/>
      <c r="K17" s="70"/>
      <c r="L17" s="70"/>
      <c r="M17" s="69">
        <f>SUM(D16:M16)/10</f>
        <v>8.3849441711015424E-2</v>
      </c>
      <c r="N17" s="9"/>
    </row>
    <row r="18" spans="1:14" ht="15" customHeight="1" x14ac:dyDescent="0.45">
      <c r="A18" s="5"/>
      <c r="B18" s="167">
        <v>0.25</v>
      </c>
      <c r="C18" s="71" t="s">
        <v>0</v>
      </c>
      <c r="D18" s="62">
        <f>($D$4 * $B18) + $D$4</f>
        <v>125000</v>
      </c>
      <c r="E18" s="63">
        <f>(D18 * $B18) + D18</f>
        <v>156250</v>
      </c>
      <c r="F18" s="63">
        <f t="shared" ref="F18:M18" si="5">(E18 * $B18) + E18</f>
        <v>195312.5</v>
      </c>
      <c r="G18" s="63">
        <f t="shared" si="5"/>
        <v>244140.625</v>
      </c>
      <c r="H18" s="63">
        <f t="shared" si="5"/>
        <v>305175.78125</v>
      </c>
      <c r="I18" s="63">
        <f t="shared" si="5"/>
        <v>381469.7265625</v>
      </c>
      <c r="J18" s="63">
        <f t="shared" si="5"/>
        <v>476837.158203125</v>
      </c>
      <c r="K18" s="63">
        <f t="shared" si="5"/>
        <v>596046.44775390625</v>
      </c>
      <c r="L18" s="63">
        <f t="shared" si="5"/>
        <v>745058.05969238281</v>
      </c>
      <c r="M18" s="63">
        <f t="shared" si="5"/>
        <v>931322.57461547852</v>
      </c>
      <c r="N18" s="5"/>
    </row>
    <row r="19" spans="1:14" ht="15" customHeight="1" x14ac:dyDescent="0.45">
      <c r="A19" s="5"/>
      <c r="B19" s="165"/>
      <c r="C19" s="71" t="s">
        <v>1</v>
      </c>
      <c r="D19" s="64">
        <f>D18*21000000</f>
        <v>2625000000000</v>
      </c>
      <c r="E19" s="65">
        <f t="shared" ref="E19:M19" si="6">E18*21000000</f>
        <v>3281250000000</v>
      </c>
      <c r="F19" s="65">
        <f t="shared" si="6"/>
        <v>4101562500000</v>
      </c>
      <c r="G19" s="65">
        <f t="shared" si="6"/>
        <v>5126953125000</v>
      </c>
      <c r="H19" s="65">
        <f t="shared" si="6"/>
        <v>6408691406250</v>
      </c>
      <c r="I19" s="65">
        <f t="shared" si="6"/>
        <v>8010864257812.5</v>
      </c>
      <c r="J19" s="65">
        <f t="shared" si="6"/>
        <v>10013580322265.625</v>
      </c>
      <c r="K19" s="65">
        <f t="shared" si="6"/>
        <v>12516975402832.031</v>
      </c>
      <c r="L19" s="65">
        <f t="shared" si="6"/>
        <v>15646219253540.039</v>
      </c>
      <c r="M19" s="65">
        <f t="shared" si="6"/>
        <v>19557774066925.047</v>
      </c>
      <c r="N19" s="5"/>
    </row>
    <row r="20" spans="1:14" ht="15" customHeight="1" x14ac:dyDescent="0.45">
      <c r="A20" s="5"/>
      <c r="B20" s="165"/>
      <c r="C20" s="73" t="s">
        <v>14</v>
      </c>
      <c r="D20" s="66">
        <f>( ( D18 - $D$4 ) ) / D18</f>
        <v>0.2</v>
      </c>
      <c r="E20" s="66">
        <f t="shared" ref="E20:M20" si="7">( ( E18 - $D$4 ) ) / E18</f>
        <v>0.36</v>
      </c>
      <c r="F20" s="66">
        <f t="shared" si="7"/>
        <v>0.48799999999999999</v>
      </c>
      <c r="G20" s="66">
        <f t="shared" si="7"/>
        <v>0.59040000000000004</v>
      </c>
      <c r="H20" s="67">
        <f t="shared" si="7"/>
        <v>0.67232000000000003</v>
      </c>
      <c r="I20" s="66">
        <f t="shared" si="7"/>
        <v>0.73785599999999996</v>
      </c>
      <c r="J20" s="66">
        <f t="shared" si="7"/>
        <v>0.79028480000000001</v>
      </c>
      <c r="K20" s="66">
        <f t="shared" si="7"/>
        <v>0.83222784000000005</v>
      </c>
      <c r="L20" s="66">
        <f t="shared" si="7"/>
        <v>0.86578227200000002</v>
      </c>
      <c r="M20" s="66">
        <f t="shared" si="7"/>
        <v>0.89262581760000004</v>
      </c>
      <c r="N20" s="5"/>
    </row>
    <row r="21" spans="1:14" ht="15" customHeight="1" x14ac:dyDescent="0.45">
      <c r="A21" s="5"/>
      <c r="B21" s="165"/>
      <c r="C21" s="73" t="s">
        <v>13</v>
      </c>
      <c r="D21" s="66">
        <f>1-D20</f>
        <v>0.8</v>
      </c>
      <c r="E21" s="66">
        <f t="shared" ref="E21:M21" si="8">1-E20</f>
        <v>0.64</v>
      </c>
      <c r="F21" s="66">
        <f t="shared" si="8"/>
        <v>0.51200000000000001</v>
      </c>
      <c r="G21" s="66">
        <f t="shared" si="8"/>
        <v>0.40959999999999996</v>
      </c>
      <c r="H21" s="67">
        <f t="shared" si="8"/>
        <v>0.32767999999999997</v>
      </c>
      <c r="I21" s="66">
        <f t="shared" si="8"/>
        <v>0.26214400000000004</v>
      </c>
      <c r="J21" s="66">
        <f t="shared" si="8"/>
        <v>0.20971519999999999</v>
      </c>
      <c r="K21" s="66">
        <f t="shared" si="8"/>
        <v>0.16777215999999995</v>
      </c>
      <c r="L21" s="66">
        <f t="shared" si="8"/>
        <v>0.13421772799999998</v>
      </c>
      <c r="M21" s="66">
        <f t="shared" si="8"/>
        <v>0.10737418239999996</v>
      </c>
      <c r="N21" s="5"/>
    </row>
    <row r="22" spans="1:14" ht="15" customHeight="1" x14ac:dyDescent="0.45">
      <c r="A22" s="5"/>
      <c r="B22" s="165"/>
      <c r="C22" s="71" t="s">
        <v>15</v>
      </c>
      <c r="D22" s="68">
        <f>D20</f>
        <v>0.2</v>
      </c>
      <c r="E22" s="69">
        <f>E20-D20</f>
        <v>0.15999999999999998</v>
      </c>
      <c r="F22" s="69">
        <f>F20-E20</f>
        <v>0.128</v>
      </c>
      <c r="G22" s="69">
        <f t="shared" ref="G22" si="9">G20-F20</f>
        <v>0.10240000000000005</v>
      </c>
      <c r="H22" s="69">
        <f t="shared" ref="H22" si="10">H20-G20</f>
        <v>8.1919999999999993E-2</v>
      </c>
      <c r="I22" s="69">
        <f t="shared" ref="I22" si="11">I20-H20</f>
        <v>6.5535999999999928E-2</v>
      </c>
      <c r="J22" s="69">
        <f t="shared" ref="J22" si="12">J20-I20</f>
        <v>5.2428800000000053E-2</v>
      </c>
      <c r="K22" s="69">
        <f t="shared" ref="K22" si="13">K20-J20</f>
        <v>4.1943040000000043E-2</v>
      </c>
      <c r="L22" s="69">
        <f t="shared" ref="L22" si="14">L20-K20</f>
        <v>3.3554431999999967E-2</v>
      </c>
      <c r="M22" s="69">
        <f t="shared" ref="M22" si="15">M20-L20</f>
        <v>2.6843545600000018E-2</v>
      </c>
      <c r="N22" s="5"/>
    </row>
    <row r="23" spans="1:14" ht="15" customHeight="1" x14ac:dyDescent="0.45">
      <c r="A23" s="5"/>
      <c r="B23" s="168"/>
      <c r="C23" s="71" t="s">
        <v>31</v>
      </c>
      <c r="D23" s="68"/>
      <c r="E23" s="69"/>
      <c r="F23" s="69"/>
      <c r="G23" s="69"/>
      <c r="H23" s="69">
        <f>SUM(D22:H22)/5</f>
        <v>0.134464</v>
      </c>
      <c r="I23" s="70"/>
      <c r="J23" s="70"/>
      <c r="K23" s="70"/>
      <c r="L23" s="70"/>
      <c r="M23" s="69">
        <f>SUM(D22:M22)/10</f>
        <v>8.9262581760000001E-2</v>
      </c>
      <c r="N23" s="5"/>
    </row>
    <row r="24" spans="1:14" ht="15" customHeight="1" x14ac:dyDescent="0.45">
      <c r="A24" s="5"/>
      <c r="B24" s="167">
        <v>0.3</v>
      </c>
      <c r="C24" s="71" t="s">
        <v>0</v>
      </c>
      <c r="D24" s="62">
        <f>($D$4 * $B24) + $D$4</f>
        <v>130000</v>
      </c>
      <c r="E24" s="63">
        <f>(D24 * $B24) + D24</f>
        <v>169000</v>
      </c>
      <c r="F24" s="63">
        <f t="shared" ref="F24:M24" si="16">(E24 * $B24) + E24</f>
        <v>219700</v>
      </c>
      <c r="G24" s="63">
        <f t="shared" si="16"/>
        <v>285610</v>
      </c>
      <c r="H24" s="63">
        <f t="shared" si="16"/>
        <v>371293</v>
      </c>
      <c r="I24" s="63">
        <f t="shared" si="16"/>
        <v>482680.9</v>
      </c>
      <c r="J24" s="63">
        <f t="shared" si="16"/>
        <v>627485.17000000004</v>
      </c>
      <c r="K24" s="63">
        <f t="shared" si="16"/>
        <v>815730.72100000002</v>
      </c>
      <c r="L24" s="63">
        <f t="shared" si="16"/>
        <v>1060449.9373000001</v>
      </c>
      <c r="M24" s="63">
        <f t="shared" si="16"/>
        <v>1378584.9184900001</v>
      </c>
      <c r="N24" s="5"/>
    </row>
    <row r="25" spans="1:14" ht="15" customHeight="1" x14ac:dyDescent="0.45">
      <c r="A25" s="5"/>
      <c r="B25" s="165"/>
      <c r="C25" s="71" t="s">
        <v>1</v>
      </c>
      <c r="D25" s="64">
        <f>D24*21000000</f>
        <v>2730000000000</v>
      </c>
      <c r="E25" s="65">
        <f t="shared" ref="E25:M25" si="17">E24*21000000</f>
        <v>3549000000000</v>
      </c>
      <c r="F25" s="65">
        <f t="shared" si="17"/>
        <v>4613700000000</v>
      </c>
      <c r="G25" s="65">
        <f t="shared" si="17"/>
        <v>5997810000000</v>
      </c>
      <c r="H25" s="65">
        <f t="shared" si="17"/>
        <v>7797153000000</v>
      </c>
      <c r="I25" s="65">
        <f t="shared" si="17"/>
        <v>10136298900000</v>
      </c>
      <c r="J25" s="65">
        <f t="shared" si="17"/>
        <v>13177188570000</v>
      </c>
      <c r="K25" s="65">
        <f t="shared" si="17"/>
        <v>17130345141000</v>
      </c>
      <c r="L25" s="65">
        <f t="shared" si="17"/>
        <v>22269448683300.004</v>
      </c>
      <c r="M25" s="65">
        <f t="shared" si="17"/>
        <v>28950283288290</v>
      </c>
      <c r="N25" s="5"/>
    </row>
    <row r="26" spans="1:14" ht="15" customHeight="1" x14ac:dyDescent="0.45">
      <c r="A26" s="5"/>
      <c r="B26" s="165"/>
      <c r="C26" s="73" t="s">
        <v>14</v>
      </c>
      <c r="D26" s="66">
        <f>( ( D24 - $D$4 ) ) / D24</f>
        <v>0.23076923076923078</v>
      </c>
      <c r="E26" s="66">
        <f t="shared" ref="E26:M26" si="18">( ( E24 - $D$4 ) ) / E24</f>
        <v>0.40828402366863903</v>
      </c>
      <c r="F26" s="66">
        <f t="shared" si="18"/>
        <v>0.54483386436049153</v>
      </c>
      <c r="G26" s="66">
        <f t="shared" si="18"/>
        <v>0.64987220335422424</v>
      </c>
      <c r="H26" s="67">
        <f t="shared" si="18"/>
        <v>0.73067092565709557</v>
      </c>
      <c r="I26" s="66">
        <f t="shared" si="18"/>
        <v>0.79282378896699668</v>
      </c>
      <c r="J26" s="66">
        <f t="shared" si="18"/>
        <v>0.84063368382076664</v>
      </c>
      <c r="K26" s="66">
        <f t="shared" si="18"/>
        <v>0.87741052601597436</v>
      </c>
      <c r="L26" s="66">
        <f t="shared" si="18"/>
        <v>0.90570040462767254</v>
      </c>
      <c r="M26" s="66">
        <f t="shared" si="18"/>
        <v>0.92746184971359424</v>
      </c>
      <c r="N26" s="5"/>
    </row>
    <row r="27" spans="1:14" ht="15" customHeight="1" x14ac:dyDescent="0.45">
      <c r="A27" s="5"/>
      <c r="B27" s="165"/>
      <c r="C27" s="73" t="s">
        <v>13</v>
      </c>
      <c r="D27" s="66">
        <f>1-D26</f>
        <v>0.76923076923076916</v>
      </c>
      <c r="E27" s="66">
        <f t="shared" ref="E27:M27" si="19">1-E26</f>
        <v>0.59171597633136097</v>
      </c>
      <c r="F27" s="66">
        <f t="shared" si="19"/>
        <v>0.45516613563950847</v>
      </c>
      <c r="G27" s="66">
        <f t="shared" si="19"/>
        <v>0.35012779664577576</v>
      </c>
      <c r="H27" s="67">
        <f t="shared" si="19"/>
        <v>0.26932907434290443</v>
      </c>
      <c r="I27" s="66">
        <f t="shared" si="19"/>
        <v>0.20717621103300332</v>
      </c>
      <c r="J27" s="66">
        <f t="shared" si="19"/>
        <v>0.15936631617923336</v>
      </c>
      <c r="K27" s="66">
        <f t="shared" si="19"/>
        <v>0.12258947398402564</v>
      </c>
      <c r="L27" s="66">
        <f t="shared" si="19"/>
        <v>9.429959537232746E-2</v>
      </c>
      <c r="M27" s="66">
        <f t="shared" si="19"/>
        <v>7.2538150286405756E-2</v>
      </c>
      <c r="N27" s="5"/>
    </row>
    <row r="28" spans="1:14" ht="15" customHeight="1" x14ac:dyDescent="0.45">
      <c r="A28" s="5"/>
      <c r="B28" s="165"/>
      <c r="C28" s="71" t="s">
        <v>15</v>
      </c>
      <c r="D28" s="68">
        <f>D26</f>
        <v>0.23076923076923078</v>
      </c>
      <c r="E28" s="69">
        <f>E26-D26</f>
        <v>0.17751479289940825</v>
      </c>
      <c r="F28" s="69">
        <f>F26-E26</f>
        <v>0.1365498406918525</v>
      </c>
      <c r="G28" s="69">
        <f t="shared" ref="G28" si="20">G26-F26</f>
        <v>0.10503833899373272</v>
      </c>
      <c r="H28" s="69">
        <f t="shared" ref="H28" si="21">H26-G26</f>
        <v>8.0798722302871329E-2</v>
      </c>
      <c r="I28" s="69">
        <f t="shared" ref="I28" si="22">I26-H26</f>
        <v>6.2152863309901107E-2</v>
      </c>
      <c r="J28" s="69">
        <f t="shared" ref="J28" si="23">J26-I26</f>
        <v>4.7809894853769963E-2</v>
      </c>
      <c r="K28" s="69">
        <f t="shared" ref="K28" si="24">K26-J26</f>
        <v>3.6776842195207715E-2</v>
      </c>
      <c r="L28" s="69">
        <f t="shared" ref="L28" si="25">L26-K26</f>
        <v>2.8289878611698183E-2</v>
      </c>
      <c r="M28" s="69">
        <f t="shared" ref="M28" si="26">M26-L26</f>
        <v>2.1761445085921705E-2</v>
      </c>
      <c r="N28" s="5"/>
    </row>
    <row r="29" spans="1:14" ht="15" customHeight="1" x14ac:dyDescent="0.45">
      <c r="A29" s="5"/>
      <c r="B29" s="168"/>
      <c r="C29" s="71" t="s">
        <v>31</v>
      </c>
      <c r="D29" s="68"/>
      <c r="E29" s="69"/>
      <c r="F29" s="69"/>
      <c r="G29" s="69"/>
      <c r="H29" s="69">
        <f>SUM(D28:H28)/5</f>
        <v>0.14613418513141913</v>
      </c>
      <c r="I29" s="70"/>
      <c r="J29" s="70"/>
      <c r="K29" s="70"/>
      <c r="L29" s="70"/>
      <c r="M29" s="69">
        <f>SUM(D28:M28)/10</f>
        <v>9.2746184971359419E-2</v>
      </c>
      <c r="N29" s="5"/>
    </row>
    <row r="30" spans="1:14" ht="15" customHeight="1" x14ac:dyDescent="0.45">
      <c r="A30" s="5"/>
      <c r="B30" s="167">
        <v>0.35</v>
      </c>
      <c r="C30" s="71" t="s">
        <v>0</v>
      </c>
      <c r="D30" s="62">
        <f>($D$4 * $B30) + $D$4</f>
        <v>135000</v>
      </c>
      <c r="E30" s="63">
        <f>(D30 * $B30) + D30</f>
        <v>182250</v>
      </c>
      <c r="F30" s="63">
        <f t="shared" ref="F30:M30" si="27">(E30 * $B30) + E30</f>
        <v>246037.5</v>
      </c>
      <c r="G30" s="63">
        <f t="shared" si="27"/>
        <v>332150.625</v>
      </c>
      <c r="H30" s="63">
        <f t="shared" si="27"/>
        <v>448403.34375</v>
      </c>
      <c r="I30" s="63">
        <f t="shared" si="27"/>
        <v>605344.51406249998</v>
      </c>
      <c r="J30" s="63">
        <f t="shared" si="27"/>
        <v>817215.09398437501</v>
      </c>
      <c r="K30" s="63">
        <f t="shared" si="27"/>
        <v>1103240.3768789063</v>
      </c>
      <c r="L30" s="63">
        <f t="shared" si="27"/>
        <v>1489374.5087865235</v>
      </c>
      <c r="M30" s="63">
        <f t="shared" si="27"/>
        <v>2010655.5868618067</v>
      </c>
      <c r="N30" s="5"/>
    </row>
    <row r="31" spans="1:14" ht="15" customHeight="1" x14ac:dyDescent="0.45">
      <c r="A31" s="5"/>
      <c r="B31" s="165"/>
      <c r="C31" s="71" t="s">
        <v>1</v>
      </c>
      <c r="D31" s="64">
        <f>D30*21000000</f>
        <v>2835000000000</v>
      </c>
      <c r="E31" s="65">
        <f t="shared" ref="E31:M31" si="28">E30*21000000</f>
        <v>3827250000000</v>
      </c>
      <c r="F31" s="65">
        <f t="shared" si="28"/>
        <v>5166787500000</v>
      </c>
      <c r="G31" s="65">
        <f t="shared" si="28"/>
        <v>6975163125000</v>
      </c>
      <c r="H31" s="65">
        <f t="shared" si="28"/>
        <v>9416470218750</v>
      </c>
      <c r="I31" s="65">
        <f t="shared" si="28"/>
        <v>12712234795312.5</v>
      </c>
      <c r="J31" s="65">
        <f t="shared" si="28"/>
        <v>17161516973671.875</v>
      </c>
      <c r="K31" s="65">
        <f t="shared" si="28"/>
        <v>23168047914457.031</v>
      </c>
      <c r="L31" s="65">
        <f t="shared" si="28"/>
        <v>31276864684516.992</v>
      </c>
      <c r="M31" s="65">
        <f t="shared" si="28"/>
        <v>42223767324097.938</v>
      </c>
      <c r="N31" s="5"/>
    </row>
    <row r="32" spans="1:14" ht="15" customHeight="1" x14ac:dyDescent="0.45">
      <c r="A32" s="5"/>
      <c r="B32" s="165"/>
      <c r="C32" s="73" t="s">
        <v>14</v>
      </c>
      <c r="D32" s="66">
        <f>( ( D30 - $D$4 ) ) / D30</f>
        <v>0.25925925925925924</v>
      </c>
      <c r="E32" s="66">
        <f t="shared" ref="E32:M32" si="29">( ( E30 - $D$4 ) ) / E30</f>
        <v>0.45130315500685869</v>
      </c>
      <c r="F32" s="66">
        <f t="shared" si="29"/>
        <v>0.59355789259767311</v>
      </c>
      <c r="G32" s="66">
        <f t="shared" ref="G32" si="30">( ( G30 - $D$4 ) ) / G30</f>
        <v>0.69893177229457271</v>
      </c>
      <c r="H32" s="67">
        <f t="shared" si="29"/>
        <v>0.77698649799597974</v>
      </c>
      <c r="I32" s="66">
        <f t="shared" si="29"/>
        <v>0.83480481333035539</v>
      </c>
      <c r="J32" s="66">
        <f t="shared" si="29"/>
        <v>0.87763319505952253</v>
      </c>
      <c r="K32" s="66">
        <f t="shared" si="29"/>
        <v>0.90935792226631296</v>
      </c>
      <c r="L32" s="66">
        <f t="shared" si="29"/>
        <v>0.93285772019726887</v>
      </c>
      <c r="M32" s="66">
        <f t="shared" si="29"/>
        <v>0.95026497792390285</v>
      </c>
      <c r="N32" s="5"/>
    </row>
    <row r="33" spans="1:14" ht="15" customHeight="1" x14ac:dyDescent="0.45">
      <c r="A33" s="5"/>
      <c r="B33" s="165"/>
      <c r="C33" s="73" t="s">
        <v>13</v>
      </c>
      <c r="D33" s="66">
        <f>1-D32</f>
        <v>0.7407407407407407</v>
      </c>
      <c r="E33" s="66">
        <f t="shared" ref="E33:M33" si="31">1-E32</f>
        <v>0.54869684499314131</v>
      </c>
      <c r="F33" s="66">
        <f t="shared" si="31"/>
        <v>0.40644210740232689</v>
      </c>
      <c r="G33" s="66">
        <f t="shared" ref="G33" si="32">1-G32</f>
        <v>0.30106822770542729</v>
      </c>
      <c r="H33" s="67">
        <f t="shared" si="31"/>
        <v>0.22301350200402026</v>
      </c>
      <c r="I33" s="66">
        <f t="shared" si="31"/>
        <v>0.16519518666964461</v>
      </c>
      <c r="J33" s="66">
        <f t="shared" si="31"/>
        <v>0.12236680494047747</v>
      </c>
      <c r="K33" s="66">
        <f t="shared" si="31"/>
        <v>9.0642077733687043E-2</v>
      </c>
      <c r="L33" s="66">
        <f t="shared" si="31"/>
        <v>6.7142279802731131E-2</v>
      </c>
      <c r="M33" s="66">
        <f t="shared" si="31"/>
        <v>4.9735022076097146E-2</v>
      </c>
      <c r="N33" s="5"/>
    </row>
    <row r="34" spans="1:14" ht="15" customHeight="1" x14ac:dyDescent="0.45">
      <c r="A34" s="5"/>
      <c r="B34" s="165"/>
      <c r="C34" s="71" t="s">
        <v>15</v>
      </c>
      <c r="D34" s="68">
        <f>D32</f>
        <v>0.25925925925925924</v>
      </c>
      <c r="E34" s="69">
        <f>E32-D32</f>
        <v>0.19204389574759945</v>
      </c>
      <c r="F34" s="69">
        <f>F32-E32</f>
        <v>0.14225473759081442</v>
      </c>
      <c r="G34" s="69">
        <f t="shared" ref="G34" si="33">G32-F32</f>
        <v>0.1053738796968996</v>
      </c>
      <c r="H34" s="69">
        <f t="shared" ref="H34" si="34">H32-G32</f>
        <v>7.8054725701407035E-2</v>
      </c>
      <c r="I34" s="69">
        <f t="shared" ref="I34" si="35">I32-H32</f>
        <v>5.7818315334375647E-2</v>
      </c>
      <c r="J34" s="69">
        <f t="shared" ref="J34" si="36">J32-I32</f>
        <v>4.2828381729167142E-2</v>
      </c>
      <c r="K34" s="69">
        <f t="shared" ref="K34" si="37">K32-J32</f>
        <v>3.1724727206790426E-2</v>
      </c>
      <c r="L34" s="69">
        <f t="shared" ref="L34" si="38">L32-K32</f>
        <v>2.3499797930955912E-2</v>
      </c>
      <c r="M34" s="69">
        <f t="shared" ref="M34" si="39">M32-L32</f>
        <v>1.7407257726633985E-2</v>
      </c>
      <c r="N34" s="5"/>
    </row>
    <row r="35" spans="1:14" ht="15" customHeight="1" x14ac:dyDescent="0.45">
      <c r="A35" s="5"/>
      <c r="B35" s="168"/>
      <c r="C35" s="71" t="s">
        <v>31</v>
      </c>
      <c r="D35" s="68"/>
      <c r="E35" s="69"/>
      <c r="F35" s="69"/>
      <c r="G35" s="69"/>
      <c r="H35" s="69">
        <f>SUM(D34:H34)/5</f>
        <v>0.15539729959919596</v>
      </c>
      <c r="I35" s="70"/>
      <c r="J35" s="70"/>
      <c r="K35" s="70"/>
      <c r="L35" s="70"/>
      <c r="M35" s="69">
        <f>SUM(D34:M34)/10</f>
        <v>9.502649779239028E-2</v>
      </c>
      <c r="N35" s="5"/>
    </row>
    <row r="36" spans="1:14" ht="15" customHeight="1" x14ac:dyDescent="0.45">
      <c r="A36" s="5"/>
      <c r="B36" s="165">
        <v>0.4</v>
      </c>
      <c r="C36" s="71" t="s">
        <v>0</v>
      </c>
      <c r="D36" s="62">
        <f>($D$4 * $B36) + $D$4</f>
        <v>140000</v>
      </c>
      <c r="E36" s="63">
        <f>(D36 * $B36) + D36</f>
        <v>196000</v>
      </c>
      <c r="F36" s="63">
        <f t="shared" ref="F36:M36" si="40">(E36 * $B36) + E36</f>
        <v>274400</v>
      </c>
      <c r="G36" s="63">
        <f t="shared" si="40"/>
        <v>384160</v>
      </c>
      <c r="H36" s="63">
        <f t="shared" si="40"/>
        <v>537824</v>
      </c>
      <c r="I36" s="63">
        <f t="shared" si="40"/>
        <v>752953.6</v>
      </c>
      <c r="J36" s="63">
        <f t="shared" si="40"/>
        <v>1054135.04</v>
      </c>
      <c r="K36" s="63">
        <f t="shared" si="40"/>
        <v>1475789.0560000001</v>
      </c>
      <c r="L36" s="63">
        <f t="shared" si="40"/>
        <v>2066104.6784000001</v>
      </c>
      <c r="M36" s="63">
        <f t="shared" si="40"/>
        <v>2892546.5497600003</v>
      </c>
      <c r="N36" s="5"/>
    </row>
    <row r="37" spans="1:14" ht="15" customHeight="1" x14ac:dyDescent="0.45">
      <c r="A37" s="5"/>
      <c r="B37" s="165"/>
      <c r="C37" s="71" t="s">
        <v>1</v>
      </c>
      <c r="D37" s="64">
        <f>D36*21000000</f>
        <v>2940000000000</v>
      </c>
      <c r="E37" s="65">
        <f t="shared" ref="E37:M37" si="41">E36*21000000</f>
        <v>4116000000000</v>
      </c>
      <c r="F37" s="65">
        <f t="shared" si="41"/>
        <v>5762400000000</v>
      </c>
      <c r="G37" s="65">
        <f t="shared" si="41"/>
        <v>8067360000000</v>
      </c>
      <c r="H37" s="65">
        <f t="shared" si="41"/>
        <v>11294304000000</v>
      </c>
      <c r="I37" s="65">
        <f t="shared" si="41"/>
        <v>15812025600000</v>
      </c>
      <c r="J37" s="65">
        <f t="shared" si="41"/>
        <v>22136835840000</v>
      </c>
      <c r="K37" s="65">
        <f t="shared" si="41"/>
        <v>30991570176000.004</v>
      </c>
      <c r="L37" s="65">
        <f t="shared" si="41"/>
        <v>43388198246400</v>
      </c>
      <c r="M37" s="65">
        <f t="shared" si="41"/>
        <v>60743477544960.008</v>
      </c>
      <c r="N37" s="5"/>
    </row>
    <row r="38" spans="1:14" ht="15" customHeight="1" x14ac:dyDescent="0.45">
      <c r="A38" s="5"/>
      <c r="B38" s="165"/>
      <c r="C38" s="73" t="s">
        <v>14</v>
      </c>
      <c r="D38" s="66">
        <f>( ( D36 - $D$4 ) ) / D36</f>
        <v>0.2857142857142857</v>
      </c>
      <c r="E38" s="66">
        <f t="shared" ref="E38:M38" si="42">( ( E36 - $D$4 ) ) / E36</f>
        <v>0.48979591836734693</v>
      </c>
      <c r="F38" s="66">
        <f t="shared" ref="F38" si="43">( ( F36 - $D$4 ) ) / F36</f>
        <v>0.63556851311953355</v>
      </c>
      <c r="G38" s="66">
        <f t="shared" si="42"/>
        <v>0.73969179508538108</v>
      </c>
      <c r="H38" s="67">
        <f t="shared" si="42"/>
        <v>0.81406556791812934</v>
      </c>
      <c r="I38" s="66">
        <f t="shared" si="42"/>
        <v>0.86718969137009239</v>
      </c>
      <c r="J38" s="66">
        <f t="shared" si="42"/>
        <v>0.90513549383578029</v>
      </c>
      <c r="K38" s="66">
        <f t="shared" si="42"/>
        <v>0.93223963845412883</v>
      </c>
      <c r="L38" s="66">
        <f t="shared" si="42"/>
        <v>0.95159974175294915</v>
      </c>
      <c r="M38" s="66">
        <f t="shared" si="42"/>
        <v>0.96542838696639222</v>
      </c>
      <c r="N38" s="5"/>
    </row>
    <row r="39" spans="1:14" ht="15" customHeight="1" x14ac:dyDescent="0.45">
      <c r="A39" s="5"/>
      <c r="B39" s="165"/>
      <c r="C39" s="73" t="s">
        <v>13</v>
      </c>
      <c r="D39" s="66">
        <f>1-D38</f>
        <v>0.7142857142857143</v>
      </c>
      <c r="E39" s="66">
        <f t="shared" ref="E39:M39" si="44">1-E38</f>
        <v>0.51020408163265307</v>
      </c>
      <c r="F39" s="66">
        <f t="shared" ref="F39" si="45">1-F38</f>
        <v>0.36443148688046645</v>
      </c>
      <c r="G39" s="66">
        <f t="shared" si="44"/>
        <v>0.26030820491461892</v>
      </c>
      <c r="H39" s="67">
        <f t="shared" si="44"/>
        <v>0.18593443208187066</v>
      </c>
      <c r="I39" s="66">
        <f t="shared" si="44"/>
        <v>0.13281030862990761</v>
      </c>
      <c r="J39" s="66">
        <f t="shared" si="44"/>
        <v>9.4864506164219708E-2</v>
      </c>
      <c r="K39" s="66">
        <f t="shared" si="44"/>
        <v>6.7760361545871173E-2</v>
      </c>
      <c r="L39" s="66">
        <f t="shared" si="44"/>
        <v>4.8400258247050854E-2</v>
      </c>
      <c r="M39" s="66">
        <f t="shared" si="44"/>
        <v>3.4571613033607784E-2</v>
      </c>
      <c r="N39" s="5"/>
    </row>
    <row r="40" spans="1:14" ht="15" customHeight="1" x14ac:dyDescent="0.45">
      <c r="A40" s="5"/>
      <c r="B40" s="165"/>
      <c r="C40" s="71" t="s">
        <v>15</v>
      </c>
      <c r="D40" s="68">
        <f>D38</f>
        <v>0.2857142857142857</v>
      </c>
      <c r="E40" s="69">
        <f>E38-D38</f>
        <v>0.20408163265306123</v>
      </c>
      <c r="F40" s="69">
        <f>F38-E38</f>
        <v>0.14577259475218662</v>
      </c>
      <c r="G40" s="69">
        <f t="shared" ref="G40" si="46">G38-F38</f>
        <v>0.10412328196584753</v>
      </c>
      <c r="H40" s="69">
        <f t="shared" ref="H40" si="47">H38-G38</f>
        <v>7.4373772832748264E-2</v>
      </c>
      <c r="I40" s="69">
        <f t="shared" ref="I40" si="48">I38-H38</f>
        <v>5.3124123451963046E-2</v>
      </c>
      <c r="J40" s="69">
        <f t="shared" ref="J40" si="49">J38-I38</f>
        <v>3.7945802465687906E-2</v>
      </c>
      <c r="K40" s="69">
        <f t="shared" ref="K40" si="50">K38-J38</f>
        <v>2.7104144618348536E-2</v>
      </c>
      <c r="L40" s="69">
        <f t="shared" ref="L40" si="51">L38-K38</f>
        <v>1.9360103298820319E-2</v>
      </c>
      <c r="M40" s="69">
        <f t="shared" ref="M40" si="52">M38-L38</f>
        <v>1.3828645213443069E-2</v>
      </c>
      <c r="N40" s="5"/>
    </row>
    <row r="41" spans="1:14" ht="15" customHeight="1" x14ac:dyDescent="0.45">
      <c r="A41" s="5"/>
      <c r="B41" s="166"/>
      <c r="C41" s="71" t="s">
        <v>31</v>
      </c>
      <c r="D41" s="68"/>
      <c r="E41" s="69"/>
      <c r="F41" s="69"/>
      <c r="G41" s="69"/>
      <c r="H41" s="69">
        <f>SUM(D40:H40)/5</f>
        <v>0.16281311358362588</v>
      </c>
      <c r="I41" s="70"/>
      <c r="J41" s="70"/>
      <c r="K41" s="70"/>
      <c r="L41" s="70"/>
      <c r="M41" s="69">
        <f>SUM(D40:M40)/10</f>
        <v>9.6542838696639224E-2</v>
      </c>
      <c r="N41" s="5"/>
    </row>
    <row r="42" spans="1:14" ht="15" customHeight="1" x14ac:dyDescent="0.45">
      <c r="A42" s="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9"/>
    </row>
  </sheetData>
  <mergeCells count="18">
    <mergeCell ref="B2:B8"/>
    <mergeCell ref="B36:B41"/>
    <mergeCell ref="B18:B23"/>
    <mergeCell ref="B24:B29"/>
    <mergeCell ref="B30:B35"/>
    <mergeCell ref="B12:B17"/>
    <mergeCell ref="J10:J11"/>
    <mergeCell ref="K10:K11"/>
    <mergeCell ref="L10:L11"/>
    <mergeCell ref="M10:M11"/>
    <mergeCell ref="C2:D3"/>
    <mergeCell ref="F2:I3"/>
    <mergeCell ref="H10:H11"/>
    <mergeCell ref="I10:I11"/>
    <mergeCell ref="D10:D11"/>
    <mergeCell ref="E10:E11"/>
    <mergeCell ref="F10:F11"/>
    <mergeCell ref="G10:G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Yield Estimate Calculator</vt:lpstr>
      <vt:lpstr>Bitcoin Mortgage Services</vt:lpstr>
      <vt:lpstr>10 Year Burndown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Hutchinson</dc:creator>
  <cp:lastModifiedBy>Kyle Hutchinson</cp:lastModifiedBy>
  <dcterms:created xsi:type="dcterms:W3CDTF">2025-08-18T00:15:32Z</dcterms:created>
  <dcterms:modified xsi:type="dcterms:W3CDTF">2025-10-31T02:46:04Z</dcterms:modified>
</cp:coreProperties>
</file>