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eb409204932c1c/"/>
    </mc:Choice>
  </mc:AlternateContent>
  <xr:revisionPtr revIDLastSave="597" documentId="13_ncr:1_{AE93A452-22DF-478B-8AAE-1A3A6016AB56}" xr6:coauthVersionLast="47" xr6:coauthVersionMax="47" xr10:uidLastSave="{E4568BE3-D6FD-47E9-9DCB-852CE202CFD2}"/>
  <bookViews>
    <workbookView xWindow="-98" yWindow="-98" windowWidth="28996" windowHeight="15675" activeTab="4" xr2:uid="{10396A79-A4B2-467C-A467-ECE59C587EB2}"/>
  </bookViews>
  <sheets>
    <sheet name="Summary" sheetId="8" r:id="rId1"/>
    <sheet name="BTC CAGR 25% 15%" sheetId="6" r:id="rId2"/>
    <sheet name="BTC CAGR 30% 20%" sheetId="1" r:id="rId3"/>
    <sheet name="BTC CAGR 30% 30%" sheetId="9" r:id="rId4"/>
    <sheet name="BTC CAGR 35% 25%" sheetId="5" r:id="rId5"/>
    <sheet name="BTC CAGR 40% 30%" sheetId="4" r:id="rId6"/>
    <sheet name="LQWD CAGR 80% 60%" sheetId="10" r:id="rId7"/>
    <sheet name="LQWD CAGR 60% 40%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10" l="1"/>
  <c r="C32" i="11"/>
  <c r="D32" i="11"/>
  <c r="E11" i="11"/>
  <c r="D11" i="11"/>
  <c r="E11" i="10"/>
  <c r="D11" i="10"/>
  <c r="C32" i="10"/>
  <c r="C11" i="10"/>
  <c r="C39" i="11"/>
  <c r="D27" i="11"/>
  <c r="C27" i="11"/>
  <c r="C18" i="11"/>
  <c r="C11" i="11"/>
  <c r="C10" i="11"/>
  <c r="D9" i="11"/>
  <c r="D6" i="11"/>
  <c r="C6" i="11"/>
  <c r="K57" i="9"/>
  <c r="K58" i="9"/>
  <c r="K59" i="9"/>
  <c r="K60" i="9"/>
  <c r="K56" i="9"/>
  <c r="C6" i="10"/>
  <c r="C27" i="10"/>
  <c r="D12" i="10"/>
  <c r="D27" i="10"/>
  <c r="C39" i="10"/>
  <c r="Y19" i="6"/>
  <c r="G10" i="8" s="1"/>
  <c r="G31" i="8" s="1"/>
  <c r="D9" i="10"/>
  <c r="E9" i="10" s="1"/>
  <c r="C10" i="10"/>
  <c r="D6" i="10"/>
  <c r="C18" i="10"/>
  <c r="P32" i="8"/>
  <c r="Q32" i="8"/>
  <c r="R32" i="8"/>
  <c r="U32" i="8"/>
  <c r="V32" i="8"/>
  <c r="O32" i="8"/>
  <c r="P25" i="8"/>
  <c r="Q25" i="8"/>
  <c r="R25" i="8"/>
  <c r="U25" i="8"/>
  <c r="V25" i="8"/>
  <c r="O25" i="8"/>
  <c r="P18" i="8"/>
  <c r="Q18" i="8"/>
  <c r="R18" i="8"/>
  <c r="U18" i="8"/>
  <c r="V18" i="8"/>
  <c r="O18" i="8"/>
  <c r="G32" i="8"/>
  <c r="H32" i="8"/>
  <c r="I32" i="8"/>
  <c r="L32" i="8"/>
  <c r="M32" i="8"/>
  <c r="F32" i="8"/>
  <c r="G25" i="8"/>
  <c r="H25" i="8"/>
  <c r="I25" i="8"/>
  <c r="L25" i="8"/>
  <c r="M25" i="8"/>
  <c r="F25" i="8"/>
  <c r="G18" i="8"/>
  <c r="H18" i="8"/>
  <c r="I18" i="8"/>
  <c r="L18" i="8"/>
  <c r="M18" i="8"/>
  <c r="F18" i="8"/>
  <c r="V11" i="8"/>
  <c r="U11" i="8"/>
  <c r="U12" i="8"/>
  <c r="U33" i="8" s="1"/>
  <c r="V12" i="8"/>
  <c r="V33" i="8" s="1"/>
  <c r="V10" i="8"/>
  <c r="V31" i="8" s="1"/>
  <c r="U10" i="8"/>
  <c r="U31" i="8" s="1"/>
  <c r="C33" i="9"/>
  <c r="B27" i="9"/>
  <c r="B26" i="9"/>
  <c r="B25" i="9"/>
  <c r="D24" i="9" s="1"/>
  <c r="C15" i="9"/>
  <c r="C9" i="9"/>
  <c r="B9" i="9"/>
  <c r="D8" i="9"/>
  <c r="D12" i="9" s="1"/>
  <c r="E12" i="9" s="1"/>
  <c r="B8" i="9"/>
  <c r="B7" i="9"/>
  <c r="D6" i="9" s="1"/>
  <c r="C6" i="9"/>
  <c r="B3" i="9"/>
  <c r="G19" i="6"/>
  <c r="M19" i="6"/>
  <c r="Y37" i="6"/>
  <c r="P10" i="8" s="1"/>
  <c r="P24" i="8" s="1"/>
  <c r="E38" i="6"/>
  <c r="O11" i="8" s="1"/>
  <c r="F12" i="8"/>
  <c r="F33" i="8" s="1"/>
  <c r="F11" i="8"/>
  <c r="O12" i="8"/>
  <c r="O33" i="8" s="1"/>
  <c r="O10" i="8"/>
  <c r="O24" i="8" s="1"/>
  <c r="L12" i="8"/>
  <c r="L19" i="8" s="1"/>
  <c r="L11" i="8"/>
  <c r="L10" i="8"/>
  <c r="L31" i="8" s="1"/>
  <c r="H12" i="8"/>
  <c r="H19" i="8" s="1"/>
  <c r="H11" i="8"/>
  <c r="Y21" i="4"/>
  <c r="Y20" i="4"/>
  <c r="M11" i="8" s="1"/>
  <c r="Y19" i="4"/>
  <c r="M10" i="8" s="1"/>
  <c r="M17" i="8" s="1"/>
  <c r="Y21" i="1"/>
  <c r="I12" i="8" s="1"/>
  <c r="I33" i="8" s="1"/>
  <c r="Y20" i="1"/>
  <c r="I11" i="8" s="1"/>
  <c r="Y39" i="6"/>
  <c r="P12" i="8" s="1"/>
  <c r="P19" i="8" s="1"/>
  <c r="Y38" i="6"/>
  <c r="P11" i="8" s="1"/>
  <c r="Y21" i="6"/>
  <c r="G12" i="8" s="1"/>
  <c r="G19" i="8" s="1"/>
  <c r="Y20" i="6"/>
  <c r="G11" i="8" s="1"/>
  <c r="F10" i="8"/>
  <c r="F31" i="8" s="1"/>
  <c r="M12" i="8"/>
  <c r="M33" i="8" s="1"/>
  <c r="N19" i="6"/>
  <c r="C33" i="6"/>
  <c r="B27" i="6"/>
  <c r="B26" i="6"/>
  <c r="B25" i="6"/>
  <c r="D24" i="6"/>
  <c r="C15" i="6"/>
  <c r="C9" i="6"/>
  <c r="B9" i="6"/>
  <c r="D8" i="6"/>
  <c r="F8" i="6" s="1"/>
  <c r="H8" i="6" s="1"/>
  <c r="H15" i="6" s="1"/>
  <c r="I15" i="6" s="1"/>
  <c r="B8" i="6"/>
  <c r="B7" i="6"/>
  <c r="D6" i="6" s="1"/>
  <c r="C6" i="6"/>
  <c r="B3" i="6"/>
  <c r="C33" i="5"/>
  <c r="B27" i="5"/>
  <c r="B26" i="5"/>
  <c r="B25" i="5"/>
  <c r="D24" i="5" s="1"/>
  <c r="C15" i="5"/>
  <c r="C9" i="5"/>
  <c r="B9" i="5"/>
  <c r="D8" i="5"/>
  <c r="D15" i="5" s="1"/>
  <c r="E15" i="5" s="1"/>
  <c r="B8" i="5"/>
  <c r="B7" i="5"/>
  <c r="D6" i="5"/>
  <c r="C6" i="5"/>
  <c r="B3" i="5"/>
  <c r="C33" i="4"/>
  <c r="B27" i="4"/>
  <c r="B26" i="4"/>
  <c r="B25" i="4"/>
  <c r="D24" i="4" s="1"/>
  <c r="C15" i="4"/>
  <c r="C9" i="4"/>
  <c r="B9" i="4"/>
  <c r="D8" i="4"/>
  <c r="B8" i="4"/>
  <c r="B7" i="4"/>
  <c r="D6" i="4" s="1"/>
  <c r="C6" i="4"/>
  <c r="B3" i="4"/>
  <c r="D24" i="1"/>
  <c r="D6" i="1"/>
  <c r="B25" i="1"/>
  <c r="B7" i="1"/>
  <c r="C6" i="1"/>
  <c r="B27" i="1"/>
  <c r="B26" i="1"/>
  <c r="B9" i="1"/>
  <c r="B8" i="1"/>
  <c r="B3" i="1"/>
  <c r="C9" i="1"/>
  <c r="D8" i="1"/>
  <c r="C33" i="1"/>
  <c r="C15" i="1"/>
  <c r="E9" i="11" l="1"/>
  <c r="D12" i="11"/>
  <c r="D10" i="11" s="1"/>
  <c r="D15" i="10"/>
  <c r="E15" i="10"/>
  <c r="E18" i="10"/>
  <c r="D18" i="10"/>
  <c r="E17" i="10"/>
  <c r="D17" i="10"/>
  <c r="E16" i="10"/>
  <c r="D10" i="10"/>
  <c r="D16" i="10"/>
  <c r="E12" i="10"/>
  <c r="F11" i="10" s="1"/>
  <c r="F9" i="10"/>
  <c r="P26" i="8"/>
  <c r="F17" i="8"/>
  <c r="O19" i="8"/>
  <c r="U24" i="8"/>
  <c r="U26" i="8"/>
  <c r="V24" i="8"/>
  <c r="V26" i="8"/>
  <c r="U17" i="8"/>
  <c r="U19" i="8"/>
  <c r="V17" i="8"/>
  <c r="V19" i="8"/>
  <c r="F8" i="9"/>
  <c r="D15" i="9"/>
  <c r="E15" i="9" s="1"/>
  <c r="D14" i="9"/>
  <c r="E14" i="9" s="1"/>
  <c r="D13" i="9"/>
  <c r="E13" i="9" s="1"/>
  <c r="D9" i="9"/>
  <c r="F12" i="9"/>
  <c r="G12" i="9" s="1"/>
  <c r="F14" i="9"/>
  <c r="G14" i="9" s="1"/>
  <c r="F13" i="9"/>
  <c r="G13" i="9" s="1"/>
  <c r="F9" i="9"/>
  <c r="O26" i="8"/>
  <c r="M19" i="8"/>
  <c r="O31" i="8"/>
  <c r="P31" i="8"/>
  <c r="P17" i="8"/>
  <c r="L26" i="8"/>
  <c r="O17" i="8"/>
  <c r="P33" i="8"/>
  <c r="M24" i="8"/>
  <c r="L33" i="8"/>
  <c r="F24" i="8"/>
  <c r="H26" i="8"/>
  <c r="M31" i="8"/>
  <c r="F19" i="8"/>
  <c r="H33" i="8"/>
  <c r="G26" i="8"/>
  <c r="G33" i="8"/>
  <c r="L17" i="8"/>
  <c r="F26" i="8"/>
  <c r="L24" i="8"/>
  <c r="I19" i="8"/>
  <c r="G17" i="8"/>
  <c r="M26" i="8"/>
  <c r="I26" i="8"/>
  <c r="G24" i="8"/>
  <c r="D12" i="6"/>
  <c r="E12" i="6" s="1"/>
  <c r="D14" i="6"/>
  <c r="E14" i="6" s="1"/>
  <c r="D15" i="6"/>
  <c r="E15" i="6" s="1"/>
  <c r="H12" i="6"/>
  <c r="I12" i="6" s="1"/>
  <c r="J8" i="6"/>
  <c r="H13" i="6"/>
  <c r="I13" i="6" s="1"/>
  <c r="H9" i="6"/>
  <c r="F14" i="6"/>
  <c r="G14" i="6" s="1"/>
  <c r="F13" i="6"/>
  <c r="G13" i="6" s="1"/>
  <c r="F9" i="6"/>
  <c r="F15" i="6"/>
  <c r="G15" i="6" s="1"/>
  <c r="F12" i="6"/>
  <c r="G12" i="6" s="1"/>
  <c r="H14" i="6"/>
  <c r="I14" i="6" s="1"/>
  <c r="D9" i="6"/>
  <c r="D13" i="6"/>
  <c r="E13" i="6" s="1"/>
  <c r="D13" i="5"/>
  <c r="E13" i="5" s="1"/>
  <c r="F8" i="5"/>
  <c r="F14" i="5" s="1"/>
  <c r="G14" i="5" s="1"/>
  <c r="F9" i="5"/>
  <c r="D12" i="5"/>
  <c r="E12" i="5" s="1"/>
  <c r="F15" i="5"/>
  <c r="G15" i="5" s="1"/>
  <c r="D9" i="5"/>
  <c r="D14" i="5"/>
  <c r="E14" i="5" s="1"/>
  <c r="D15" i="4"/>
  <c r="E15" i="4" s="1"/>
  <c r="D9" i="4"/>
  <c r="D14" i="4"/>
  <c r="E14" i="4" s="1"/>
  <c r="F8" i="4"/>
  <c r="D13" i="4"/>
  <c r="E13" i="4" s="1"/>
  <c r="D12" i="4"/>
  <c r="E12" i="4" s="1"/>
  <c r="D9" i="1"/>
  <c r="D15" i="1"/>
  <c r="E15" i="1" s="1"/>
  <c r="D13" i="1"/>
  <c r="E13" i="1" s="1"/>
  <c r="D14" i="1"/>
  <c r="E14" i="1" s="1"/>
  <c r="D12" i="1"/>
  <c r="E12" i="1" s="1"/>
  <c r="F8" i="1"/>
  <c r="F13" i="5" l="1"/>
  <c r="G13" i="5" s="1"/>
  <c r="H8" i="5"/>
  <c r="J8" i="5" s="1"/>
  <c r="D16" i="11"/>
  <c r="E15" i="11"/>
  <c r="F9" i="11"/>
  <c r="D15" i="11"/>
  <c r="D18" i="11"/>
  <c r="D17" i="11"/>
  <c r="F17" i="10"/>
  <c r="F15" i="10"/>
  <c r="F16" i="10"/>
  <c r="F18" i="10"/>
  <c r="G9" i="10"/>
  <c r="F15" i="9"/>
  <c r="G15" i="9" s="1"/>
  <c r="H8" i="9"/>
  <c r="J14" i="6"/>
  <c r="K14" i="6" s="1"/>
  <c r="J13" i="6"/>
  <c r="K13" i="6" s="1"/>
  <c r="J12" i="6"/>
  <c r="K12" i="6" s="1"/>
  <c r="L8" i="6"/>
  <c r="J15" i="6"/>
  <c r="K15" i="6" s="1"/>
  <c r="J9" i="6"/>
  <c r="F12" i="5"/>
  <c r="G12" i="5" s="1"/>
  <c r="H15" i="5"/>
  <c r="I15" i="5" s="1"/>
  <c r="H13" i="5"/>
  <c r="I13" i="5" s="1"/>
  <c r="H14" i="5"/>
  <c r="I14" i="5" s="1"/>
  <c r="H12" i="5"/>
  <c r="I12" i="5" s="1"/>
  <c r="H9" i="5"/>
  <c r="F13" i="4"/>
  <c r="G13" i="4" s="1"/>
  <c r="H8" i="4"/>
  <c r="F15" i="4"/>
  <c r="G15" i="4" s="1"/>
  <c r="F14" i="4"/>
  <c r="G14" i="4" s="1"/>
  <c r="F9" i="4"/>
  <c r="F12" i="4"/>
  <c r="G12" i="4" s="1"/>
  <c r="F9" i="1"/>
  <c r="H8" i="1"/>
  <c r="F12" i="1"/>
  <c r="G12" i="1" s="1"/>
  <c r="F13" i="1"/>
  <c r="G13" i="1" s="1"/>
  <c r="F14" i="1"/>
  <c r="G14" i="1" s="1"/>
  <c r="F15" i="1"/>
  <c r="G15" i="1" s="1"/>
  <c r="E16" i="11" l="1"/>
  <c r="E18" i="11"/>
  <c r="E12" i="11"/>
  <c r="F11" i="11" s="1"/>
  <c r="E17" i="11"/>
  <c r="G9" i="11"/>
  <c r="H9" i="10"/>
  <c r="J8" i="9"/>
  <c r="H15" i="9"/>
  <c r="I15" i="9" s="1"/>
  <c r="H9" i="9"/>
  <c r="H14" i="9"/>
  <c r="I14" i="9" s="1"/>
  <c r="H12" i="9"/>
  <c r="I12" i="9" s="1"/>
  <c r="H13" i="9"/>
  <c r="I13" i="9" s="1"/>
  <c r="L15" i="6"/>
  <c r="L14" i="6"/>
  <c r="N8" i="6"/>
  <c r="L9" i="6"/>
  <c r="L13" i="6"/>
  <c r="L12" i="6"/>
  <c r="J14" i="5"/>
  <c r="K14" i="5" s="1"/>
  <c r="J15" i="5"/>
  <c r="K15" i="5" s="1"/>
  <c r="J12" i="5"/>
  <c r="K12" i="5" s="1"/>
  <c r="L8" i="5"/>
  <c r="J9" i="5"/>
  <c r="J13" i="5"/>
  <c r="K13" i="5" s="1"/>
  <c r="H15" i="4"/>
  <c r="I15" i="4" s="1"/>
  <c r="H12" i="4"/>
  <c r="I12" i="4" s="1"/>
  <c r="H9" i="4"/>
  <c r="H13" i="4"/>
  <c r="I13" i="4" s="1"/>
  <c r="J8" i="4"/>
  <c r="H14" i="4"/>
  <c r="I14" i="4" s="1"/>
  <c r="H13" i="1"/>
  <c r="I13" i="1" s="1"/>
  <c r="H15" i="1"/>
  <c r="I15" i="1" s="1"/>
  <c r="H12" i="1"/>
  <c r="I12" i="1" s="1"/>
  <c r="H14" i="1"/>
  <c r="I14" i="1" s="1"/>
  <c r="J8" i="1"/>
  <c r="H9" i="1"/>
  <c r="F12" i="11" l="1"/>
  <c r="G11" i="11" s="1"/>
  <c r="F17" i="11"/>
  <c r="E10" i="11"/>
  <c r="F16" i="11"/>
  <c r="G12" i="11"/>
  <c r="H11" i="11" s="1"/>
  <c r="F10" i="11"/>
  <c r="G16" i="11"/>
  <c r="G15" i="11"/>
  <c r="H9" i="11"/>
  <c r="F18" i="11"/>
  <c r="F15" i="11"/>
  <c r="I9" i="10"/>
  <c r="J15" i="9"/>
  <c r="K15" i="9" s="1"/>
  <c r="J12" i="9"/>
  <c r="K12" i="9" s="1"/>
  <c r="J14" i="9"/>
  <c r="K14" i="9" s="1"/>
  <c r="L8" i="9"/>
  <c r="J13" i="9"/>
  <c r="K13" i="9" s="1"/>
  <c r="J9" i="9"/>
  <c r="N14" i="6"/>
  <c r="O14" i="6" s="1"/>
  <c r="N13" i="6"/>
  <c r="O13" i="6" s="1"/>
  <c r="N9" i="6"/>
  <c r="N12" i="6"/>
  <c r="O12" i="6" s="1"/>
  <c r="P8" i="6"/>
  <c r="N15" i="6"/>
  <c r="O15" i="6" s="1"/>
  <c r="F19" i="6"/>
  <c r="H19" i="6" s="1"/>
  <c r="J19" i="6" s="1"/>
  <c r="L19" i="6" s="1"/>
  <c r="M12" i="6"/>
  <c r="D19" i="6"/>
  <c r="D21" i="6"/>
  <c r="F21" i="6"/>
  <c r="H21" i="6" s="1"/>
  <c r="J21" i="6" s="1"/>
  <c r="L21" i="6" s="1"/>
  <c r="M14" i="6"/>
  <c r="D20" i="6"/>
  <c r="F20" i="6"/>
  <c r="H20" i="6" s="1"/>
  <c r="J20" i="6" s="1"/>
  <c r="L20" i="6" s="1"/>
  <c r="M13" i="6"/>
  <c r="F22" i="6"/>
  <c r="H22" i="6" s="1"/>
  <c r="J22" i="6" s="1"/>
  <c r="L22" i="6" s="1"/>
  <c r="M15" i="6"/>
  <c r="D22" i="6"/>
  <c r="L15" i="5"/>
  <c r="L14" i="5"/>
  <c r="L9" i="5"/>
  <c r="L13" i="5"/>
  <c r="L12" i="5"/>
  <c r="N8" i="5"/>
  <c r="J13" i="4"/>
  <c r="K13" i="4" s="1"/>
  <c r="J15" i="4"/>
  <c r="K15" i="4" s="1"/>
  <c r="J14" i="4"/>
  <c r="K14" i="4" s="1"/>
  <c r="J12" i="4"/>
  <c r="K12" i="4" s="1"/>
  <c r="L8" i="4"/>
  <c r="J9" i="4"/>
  <c r="J15" i="1"/>
  <c r="K15" i="1" s="1"/>
  <c r="J14" i="1"/>
  <c r="K14" i="1" s="1"/>
  <c r="J12" i="1"/>
  <c r="K12" i="1" s="1"/>
  <c r="J13" i="1"/>
  <c r="K13" i="1" s="1"/>
  <c r="J9" i="1"/>
  <c r="L8" i="1"/>
  <c r="H12" i="11" l="1"/>
  <c r="I11" i="11" s="1"/>
  <c r="G10" i="11"/>
  <c r="H17" i="11"/>
  <c r="H16" i="11"/>
  <c r="I9" i="11"/>
  <c r="G18" i="11"/>
  <c r="G17" i="11"/>
  <c r="J9" i="10"/>
  <c r="L13" i="9"/>
  <c r="N8" i="9"/>
  <c r="L15" i="9"/>
  <c r="L12" i="9"/>
  <c r="L14" i="9"/>
  <c r="L9" i="9"/>
  <c r="G21" i="6"/>
  <c r="I21" i="6" s="1"/>
  <c r="K21" i="6" s="1"/>
  <c r="M21" i="6" s="1"/>
  <c r="E21" i="6"/>
  <c r="E19" i="6"/>
  <c r="I19" i="6"/>
  <c r="K19" i="6" s="1"/>
  <c r="G20" i="6"/>
  <c r="I20" i="6" s="1"/>
  <c r="K20" i="6" s="1"/>
  <c r="M20" i="6" s="1"/>
  <c r="E20" i="6"/>
  <c r="G22" i="6"/>
  <c r="I22" i="6" s="1"/>
  <c r="K22" i="6" s="1"/>
  <c r="M22" i="6" s="1"/>
  <c r="E22" i="6"/>
  <c r="P13" i="6"/>
  <c r="Q13" i="6" s="1"/>
  <c r="P15" i="6"/>
  <c r="Q15" i="6" s="1"/>
  <c r="P14" i="6"/>
  <c r="Q14" i="6" s="1"/>
  <c r="R8" i="6"/>
  <c r="P12" i="6"/>
  <c r="Q12" i="6" s="1"/>
  <c r="P9" i="6"/>
  <c r="D19" i="5"/>
  <c r="J10" i="8" s="1"/>
  <c r="F19" i="5"/>
  <c r="H19" i="5" s="1"/>
  <c r="J19" i="5" s="1"/>
  <c r="L19" i="5" s="1"/>
  <c r="M12" i="5"/>
  <c r="F22" i="5"/>
  <c r="H22" i="5" s="1"/>
  <c r="J22" i="5" s="1"/>
  <c r="L22" i="5" s="1"/>
  <c r="M15" i="5"/>
  <c r="D22" i="5"/>
  <c r="D20" i="5"/>
  <c r="M13" i="5"/>
  <c r="F20" i="5"/>
  <c r="H20" i="5" s="1"/>
  <c r="J20" i="5" s="1"/>
  <c r="L20" i="5" s="1"/>
  <c r="N14" i="5"/>
  <c r="O14" i="5" s="1"/>
  <c r="N13" i="5"/>
  <c r="O13" i="5" s="1"/>
  <c r="N12" i="5"/>
  <c r="O12" i="5" s="1"/>
  <c r="N15" i="5"/>
  <c r="O15" i="5" s="1"/>
  <c r="P8" i="5"/>
  <c r="N9" i="5"/>
  <c r="F21" i="5"/>
  <c r="H21" i="5" s="1"/>
  <c r="J21" i="5" s="1"/>
  <c r="L21" i="5" s="1"/>
  <c r="M14" i="5"/>
  <c r="D21" i="5"/>
  <c r="J12" i="8" s="1"/>
  <c r="L15" i="4"/>
  <c r="L14" i="4"/>
  <c r="L12" i="4"/>
  <c r="N8" i="4"/>
  <c r="L9" i="4"/>
  <c r="L13" i="4"/>
  <c r="L14" i="1"/>
  <c r="L12" i="1"/>
  <c r="D19" i="1" s="1"/>
  <c r="H10" i="8" s="1"/>
  <c r="L15" i="1"/>
  <c r="L13" i="1"/>
  <c r="N8" i="1"/>
  <c r="L9" i="1"/>
  <c r="J33" i="8" l="1"/>
  <c r="J19" i="8"/>
  <c r="J26" i="8"/>
  <c r="J31" i="8"/>
  <c r="J24" i="8"/>
  <c r="J17" i="8"/>
  <c r="E25" i="11"/>
  <c r="F25" i="11" s="1"/>
  <c r="G25" i="11" s="1"/>
  <c r="H25" i="11" s="1"/>
  <c r="I15" i="11"/>
  <c r="H10" i="11"/>
  <c r="E23" i="11"/>
  <c r="D23" i="11"/>
  <c r="D22" i="11"/>
  <c r="E22" i="11"/>
  <c r="J9" i="11"/>
  <c r="I17" i="11"/>
  <c r="I16" i="11"/>
  <c r="H18" i="11"/>
  <c r="H15" i="11"/>
  <c r="K9" i="10"/>
  <c r="H31" i="8"/>
  <c r="H17" i="8"/>
  <c r="H24" i="8"/>
  <c r="M12" i="9"/>
  <c r="D19" i="9"/>
  <c r="F19" i="9"/>
  <c r="H19" i="9" s="1"/>
  <c r="J19" i="9" s="1"/>
  <c r="L19" i="9" s="1"/>
  <c r="F22" i="9"/>
  <c r="H22" i="9" s="1"/>
  <c r="J22" i="9" s="1"/>
  <c r="L22" i="9" s="1"/>
  <c r="M15" i="9"/>
  <c r="D22" i="9"/>
  <c r="N14" i="9"/>
  <c r="O14" i="9" s="1"/>
  <c r="N15" i="9"/>
  <c r="O15" i="9" s="1"/>
  <c r="N13" i="9"/>
  <c r="O13" i="9" s="1"/>
  <c r="P8" i="9"/>
  <c r="N9" i="9"/>
  <c r="N12" i="9"/>
  <c r="O12" i="9" s="1"/>
  <c r="F21" i="9"/>
  <c r="H21" i="9" s="1"/>
  <c r="J21" i="9" s="1"/>
  <c r="L21" i="9" s="1"/>
  <c r="M14" i="9"/>
  <c r="D21" i="9"/>
  <c r="F20" i="9"/>
  <c r="H20" i="9" s="1"/>
  <c r="J20" i="9" s="1"/>
  <c r="L20" i="9" s="1"/>
  <c r="D20" i="9"/>
  <c r="M13" i="9"/>
  <c r="R14" i="6"/>
  <c r="S14" i="6" s="1"/>
  <c r="R13" i="6"/>
  <c r="S13" i="6" s="1"/>
  <c r="R12" i="6"/>
  <c r="S12" i="6" s="1"/>
  <c r="R15" i="6"/>
  <c r="S15" i="6" s="1"/>
  <c r="T8" i="6"/>
  <c r="R9" i="6"/>
  <c r="G20" i="5"/>
  <c r="I20" i="5" s="1"/>
  <c r="K20" i="5" s="1"/>
  <c r="M20" i="5" s="1"/>
  <c r="E20" i="5"/>
  <c r="J11" i="8" s="1"/>
  <c r="E19" i="5"/>
  <c r="G19" i="5"/>
  <c r="I19" i="5" s="1"/>
  <c r="K19" i="5" s="1"/>
  <c r="M19" i="5" s="1"/>
  <c r="G21" i="5"/>
  <c r="I21" i="5" s="1"/>
  <c r="K21" i="5" s="1"/>
  <c r="M21" i="5" s="1"/>
  <c r="E21" i="5"/>
  <c r="E22" i="5"/>
  <c r="G22" i="5"/>
  <c r="I22" i="5" s="1"/>
  <c r="K22" i="5" s="1"/>
  <c r="M22" i="5" s="1"/>
  <c r="P15" i="5"/>
  <c r="Q15" i="5" s="1"/>
  <c r="R8" i="5"/>
  <c r="P14" i="5"/>
  <c r="Q14" i="5" s="1"/>
  <c r="P13" i="5"/>
  <c r="Q13" i="5" s="1"/>
  <c r="P12" i="5"/>
  <c r="Q12" i="5" s="1"/>
  <c r="P9" i="5"/>
  <c r="D19" i="4"/>
  <c r="F19" i="4"/>
  <c r="H19" i="4" s="1"/>
  <c r="J19" i="4" s="1"/>
  <c r="L19" i="4" s="1"/>
  <c r="M12" i="4"/>
  <c r="F21" i="4"/>
  <c r="H21" i="4" s="1"/>
  <c r="J21" i="4" s="1"/>
  <c r="L21" i="4" s="1"/>
  <c r="M14" i="4"/>
  <c r="D21" i="4"/>
  <c r="P8" i="4"/>
  <c r="N9" i="4"/>
  <c r="N13" i="4"/>
  <c r="O13" i="4" s="1"/>
  <c r="N12" i="4"/>
  <c r="O12" i="4" s="1"/>
  <c r="N15" i="4"/>
  <c r="O15" i="4" s="1"/>
  <c r="N14" i="4"/>
  <c r="O14" i="4" s="1"/>
  <c r="M13" i="4"/>
  <c r="D20" i="4"/>
  <c r="F20" i="4"/>
  <c r="H20" i="4" s="1"/>
  <c r="J20" i="4" s="1"/>
  <c r="L20" i="4" s="1"/>
  <c r="D22" i="4"/>
  <c r="M15" i="4"/>
  <c r="F22" i="4"/>
  <c r="H22" i="4" s="1"/>
  <c r="J22" i="4" s="1"/>
  <c r="L22" i="4" s="1"/>
  <c r="N12" i="1"/>
  <c r="O12" i="1" s="1"/>
  <c r="M15" i="1"/>
  <c r="G22" i="1" s="1"/>
  <c r="I22" i="1" s="1"/>
  <c r="K22" i="1" s="1"/>
  <c r="M22" i="1" s="1"/>
  <c r="F22" i="1"/>
  <c r="H22" i="1" s="1"/>
  <c r="J22" i="1" s="1"/>
  <c r="L22" i="1" s="1"/>
  <c r="F19" i="1"/>
  <c r="H19" i="1" s="1"/>
  <c r="J19" i="1" s="1"/>
  <c r="L19" i="1" s="1"/>
  <c r="M14" i="1"/>
  <c r="G21" i="1" s="1"/>
  <c r="I21" i="1" s="1"/>
  <c r="K21" i="1" s="1"/>
  <c r="M21" i="1" s="1"/>
  <c r="F21" i="1"/>
  <c r="H21" i="1" s="1"/>
  <c r="J21" i="1" s="1"/>
  <c r="L21" i="1" s="1"/>
  <c r="M13" i="1"/>
  <c r="F20" i="1"/>
  <c r="H20" i="1" s="1"/>
  <c r="J20" i="1" s="1"/>
  <c r="L20" i="1" s="1"/>
  <c r="N13" i="1"/>
  <c r="O13" i="1" s="1"/>
  <c r="M12" i="1"/>
  <c r="G19" i="1" s="1"/>
  <c r="I19" i="1" s="1"/>
  <c r="K19" i="1" s="1"/>
  <c r="M19" i="1" s="1"/>
  <c r="N14" i="1"/>
  <c r="O14" i="1" s="1"/>
  <c r="D21" i="1"/>
  <c r="N15" i="1"/>
  <c r="O15" i="1" s="1"/>
  <c r="N9" i="1"/>
  <c r="P8" i="1"/>
  <c r="D22" i="1"/>
  <c r="D20" i="1"/>
  <c r="J32" i="8" l="1"/>
  <c r="J25" i="8"/>
  <c r="J18" i="8"/>
  <c r="H22" i="11"/>
  <c r="G22" i="11"/>
  <c r="F22" i="11"/>
  <c r="I12" i="11"/>
  <c r="J11" i="11" s="1"/>
  <c r="E21" i="11"/>
  <c r="D21" i="11"/>
  <c r="E24" i="11"/>
  <c r="D24" i="11"/>
  <c r="I18" i="11"/>
  <c r="K9" i="11"/>
  <c r="G23" i="11"/>
  <c r="F23" i="11"/>
  <c r="H23" i="11"/>
  <c r="L9" i="10"/>
  <c r="G20" i="9"/>
  <c r="I20" i="9" s="1"/>
  <c r="K20" i="9" s="1"/>
  <c r="M20" i="9" s="1"/>
  <c r="E20" i="9"/>
  <c r="G21" i="9"/>
  <c r="I21" i="9" s="1"/>
  <c r="K21" i="9" s="1"/>
  <c r="M21" i="9" s="1"/>
  <c r="E21" i="9"/>
  <c r="P15" i="9"/>
  <c r="Q15" i="9" s="1"/>
  <c r="P9" i="9"/>
  <c r="P14" i="9"/>
  <c r="Q14" i="9" s="1"/>
  <c r="R8" i="9"/>
  <c r="P13" i="9"/>
  <c r="Q13" i="9" s="1"/>
  <c r="P12" i="9"/>
  <c r="Q12" i="9" s="1"/>
  <c r="E22" i="9"/>
  <c r="G22" i="9"/>
  <c r="I22" i="9" s="1"/>
  <c r="K22" i="9" s="1"/>
  <c r="M22" i="9" s="1"/>
  <c r="E19" i="9"/>
  <c r="G19" i="9"/>
  <c r="I19" i="9" s="1"/>
  <c r="K19" i="9" s="1"/>
  <c r="M19" i="9" s="1"/>
  <c r="T12" i="6"/>
  <c r="U12" i="6" s="1"/>
  <c r="V8" i="6"/>
  <c r="T13" i="6"/>
  <c r="U13" i="6" s="1"/>
  <c r="T9" i="6"/>
  <c r="T15" i="6"/>
  <c r="U15" i="6" s="1"/>
  <c r="T14" i="6"/>
  <c r="U14" i="6" s="1"/>
  <c r="R14" i="5"/>
  <c r="S14" i="5" s="1"/>
  <c r="R12" i="5"/>
  <c r="S12" i="5" s="1"/>
  <c r="T8" i="5"/>
  <c r="R13" i="5"/>
  <c r="S13" i="5" s="1"/>
  <c r="R9" i="5"/>
  <c r="R15" i="5"/>
  <c r="S15" i="5" s="1"/>
  <c r="P15" i="4"/>
  <c r="Q15" i="4" s="1"/>
  <c r="P13" i="4"/>
  <c r="Q13" i="4" s="1"/>
  <c r="P12" i="4"/>
  <c r="Q12" i="4" s="1"/>
  <c r="P9" i="4"/>
  <c r="P14" i="4"/>
  <c r="Q14" i="4" s="1"/>
  <c r="R8" i="4"/>
  <c r="G19" i="4"/>
  <c r="I19" i="4" s="1"/>
  <c r="K19" i="4" s="1"/>
  <c r="M19" i="4" s="1"/>
  <c r="E19" i="4"/>
  <c r="E22" i="4"/>
  <c r="G22" i="4"/>
  <c r="I22" i="4" s="1"/>
  <c r="K22" i="4" s="1"/>
  <c r="M22" i="4" s="1"/>
  <c r="G20" i="4"/>
  <c r="I20" i="4" s="1"/>
  <c r="K20" i="4" s="1"/>
  <c r="M20" i="4" s="1"/>
  <c r="E20" i="4"/>
  <c r="G21" i="4"/>
  <c r="I21" i="4" s="1"/>
  <c r="K21" i="4" s="1"/>
  <c r="M21" i="4" s="1"/>
  <c r="E21" i="4"/>
  <c r="G20" i="1"/>
  <c r="I20" i="1" s="1"/>
  <c r="K20" i="1" s="1"/>
  <c r="M20" i="1" s="1"/>
  <c r="E20" i="1"/>
  <c r="E21" i="1"/>
  <c r="E19" i="1"/>
  <c r="P14" i="1"/>
  <c r="Q14" i="1" s="1"/>
  <c r="P12" i="1"/>
  <c r="Q12" i="1" s="1"/>
  <c r="P13" i="1"/>
  <c r="Q13" i="1" s="1"/>
  <c r="P15" i="1"/>
  <c r="Q15" i="1" s="1"/>
  <c r="R8" i="1"/>
  <c r="P9" i="1"/>
  <c r="E22" i="1"/>
  <c r="I10" i="11" l="1"/>
  <c r="F24" i="11"/>
  <c r="G24" i="11"/>
  <c r="H24" i="11"/>
  <c r="L9" i="11"/>
  <c r="G21" i="11"/>
  <c r="H21" i="11"/>
  <c r="F21" i="11"/>
  <c r="M9" i="10"/>
  <c r="R12" i="9"/>
  <c r="S12" i="9" s="1"/>
  <c r="T8" i="9"/>
  <c r="R14" i="9"/>
  <c r="S14" i="9" s="1"/>
  <c r="R15" i="9"/>
  <c r="S15" i="9" s="1"/>
  <c r="R13" i="9"/>
  <c r="S13" i="9" s="1"/>
  <c r="R9" i="9"/>
  <c r="V14" i="6"/>
  <c r="V13" i="6"/>
  <c r="V12" i="6"/>
  <c r="V9" i="6"/>
  <c r="C26" i="6"/>
  <c r="V15" i="6"/>
  <c r="T15" i="5"/>
  <c r="U15" i="5" s="1"/>
  <c r="T14" i="5"/>
  <c r="U14" i="5" s="1"/>
  <c r="T9" i="5"/>
  <c r="T13" i="5"/>
  <c r="U13" i="5" s="1"/>
  <c r="T12" i="5"/>
  <c r="U12" i="5" s="1"/>
  <c r="V8" i="5"/>
  <c r="R15" i="4"/>
  <c r="S15" i="4" s="1"/>
  <c r="R14" i="4"/>
  <c r="S14" i="4" s="1"/>
  <c r="R12" i="4"/>
  <c r="S12" i="4" s="1"/>
  <c r="T8" i="4"/>
  <c r="R13" i="4"/>
  <c r="S13" i="4" s="1"/>
  <c r="R9" i="4"/>
  <c r="R14" i="1"/>
  <c r="S14" i="1" s="1"/>
  <c r="R12" i="1"/>
  <c r="S12" i="1" s="1"/>
  <c r="R9" i="1"/>
  <c r="T8" i="1"/>
  <c r="R13" i="1"/>
  <c r="S13" i="1" s="1"/>
  <c r="R15" i="1"/>
  <c r="S15" i="1" s="1"/>
  <c r="J16" i="11" l="1"/>
  <c r="J18" i="11"/>
  <c r="J17" i="11"/>
  <c r="J15" i="11"/>
  <c r="M9" i="11"/>
  <c r="J12" i="11"/>
  <c r="K11" i="11" s="1"/>
  <c r="C30" i="10"/>
  <c r="T13" i="9"/>
  <c r="U13" i="9" s="1"/>
  <c r="T12" i="9"/>
  <c r="U12" i="9" s="1"/>
  <c r="T15" i="9"/>
  <c r="U15" i="9" s="1"/>
  <c r="V8" i="9"/>
  <c r="T14" i="9"/>
  <c r="U14" i="9" s="1"/>
  <c r="T9" i="9"/>
  <c r="P19" i="6"/>
  <c r="R19" i="6" s="1"/>
  <c r="T19" i="6" s="1"/>
  <c r="V19" i="6" s="1"/>
  <c r="W12" i="6"/>
  <c r="N22" i="6"/>
  <c r="W15" i="6"/>
  <c r="P22" i="6"/>
  <c r="R22" i="6" s="1"/>
  <c r="T22" i="6" s="1"/>
  <c r="V22" i="6" s="1"/>
  <c r="P20" i="6"/>
  <c r="R20" i="6" s="1"/>
  <c r="T20" i="6" s="1"/>
  <c r="V20" i="6" s="1"/>
  <c r="N20" i="6"/>
  <c r="W13" i="6"/>
  <c r="D26" i="6"/>
  <c r="C24" i="6"/>
  <c r="C27" i="6"/>
  <c r="N21" i="6"/>
  <c r="W14" i="6"/>
  <c r="P21" i="6"/>
  <c r="R21" i="6" s="1"/>
  <c r="T21" i="6" s="1"/>
  <c r="V21" i="6" s="1"/>
  <c r="V14" i="5"/>
  <c r="Y21" i="5" s="1"/>
  <c r="K12" i="8" s="1"/>
  <c r="C26" i="5"/>
  <c r="V15" i="5"/>
  <c r="V12" i="5"/>
  <c r="Y19" i="5" s="1"/>
  <c r="K10" i="8" s="1"/>
  <c r="V13" i="5"/>
  <c r="V9" i="5"/>
  <c r="T15" i="4"/>
  <c r="U15" i="4" s="1"/>
  <c r="T12" i="4"/>
  <c r="U12" i="4" s="1"/>
  <c r="T13" i="4"/>
  <c r="U13" i="4" s="1"/>
  <c r="V8" i="4"/>
  <c r="T14" i="4"/>
  <c r="U14" i="4" s="1"/>
  <c r="T9" i="4"/>
  <c r="T12" i="1"/>
  <c r="U12" i="1" s="1"/>
  <c r="T15" i="1"/>
  <c r="U15" i="1" s="1"/>
  <c r="T13" i="1"/>
  <c r="U13" i="1" s="1"/>
  <c r="T14" i="1"/>
  <c r="U14" i="1" s="1"/>
  <c r="V8" i="1"/>
  <c r="T9" i="1"/>
  <c r="K19" i="8" l="1"/>
  <c r="K26" i="8"/>
  <c r="K33" i="8"/>
  <c r="K31" i="8"/>
  <c r="K17" i="8"/>
  <c r="K24" i="8"/>
  <c r="J10" i="11"/>
  <c r="C30" i="11"/>
  <c r="D30" i="10"/>
  <c r="V12" i="9"/>
  <c r="C26" i="9"/>
  <c r="V9" i="9"/>
  <c r="V14" i="9"/>
  <c r="V13" i="9"/>
  <c r="V15" i="9"/>
  <c r="Q19" i="6"/>
  <c r="S19" i="6" s="1"/>
  <c r="U19" i="6" s="1"/>
  <c r="W19" i="6" s="1"/>
  <c r="O19" i="6"/>
  <c r="O21" i="6"/>
  <c r="Q21" i="6"/>
  <c r="S21" i="6" s="1"/>
  <c r="U21" i="6" s="1"/>
  <c r="W21" i="6" s="1"/>
  <c r="F26" i="6"/>
  <c r="D27" i="6"/>
  <c r="D32" i="6"/>
  <c r="E32" i="6" s="1"/>
  <c r="D30" i="6"/>
  <c r="E30" i="6" s="1"/>
  <c r="D33" i="6"/>
  <c r="D31" i="6"/>
  <c r="E31" i="6" s="1"/>
  <c r="Q20" i="6"/>
  <c r="S20" i="6" s="1"/>
  <c r="U20" i="6" s="1"/>
  <c r="W20" i="6" s="1"/>
  <c r="O20" i="6"/>
  <c r="O22" i="6"/>
  <c r="Q22" i="6"/>
  <c r="S22" i="6" s="1"/>
  <c r="U22" i="6" s="1"/>
  <c r="W22" i="6" s="1"/>
  <c r="P20" i="5"/>
  <c r="R20" i="5" s="1"/>
  <c r="T20" i="5" s="1"/>
  <c r="V20" i="5" s="1"/>
  <c r="N20" i="5"/>
  <c r="W13" i="5"/>
  <c r="Y20" i="5" s="1"/>
  <c r="K11" i="8" s="1"/>
  <c r="N22" i="5"/>
  <c r="P22" i="5"/>
  <c r="R22" i="5" s="1"/>
  <c r="T22" i="5" s="1"/>
  <c r="V22" i="5" s="1"/>
  <c r="W15" i="5"/>
  <c r="N21" i="5"/>
  <c r="P21" i="5"/>
  <c r="R21" i="5" s="1"/>
  <c r="T21" i="5" s="1"/>
  <c r="V21" i="5" s="1"/>
  <c r="W14" i="5"/>
  <c r="P19" i="5"/>
  <c r="R19" i="5" s="1"/>
  <c r="T19" i="5" s="1"/>
  <c r="V19" i="5" s="1"/>
  <c r="W12" i="5"/>
  <c r="N19" i="5"/>
  <c r="D26" i="5"/>
  <c r="C27" i="5"/>
  <c r="C24" i="5"/>
  <c r="V13" i="4"/>
  <c r="V15" i="4"/>
  <c r="V14" i="4"/>
  <c r="V9" i="4"/>
  <c r="C26" i="4"/>
  <c r="V12" i="4"/>
  <c r="V9" i="1"/>
  <c r="C26" i="1"/>
  <c r="C24" i="1" s="1"/>
  <c r="V15" i="1"/>
  <c r="W15" i="1" s="1"/>
  <c r="O22" i="1" s="1"/>
  <c r="V14" i="1"/>
  <c r="V12" i="1"/>
  <c r="Y19" i="1" s="1"/>
  <c r="I10" i="8" s="1"/>
  <c r="V13" i="1"/>
  <c r="W13" i="1" s="1"/>
  <c r="K32" i="8" l="1"/>
  <c r="K25" i="8"/>
  <c r="K18" i="8"/>
  <c r="K18" i="11"/>
  <c r="K17" i="11"/>
  <c r="K16" i="11"/>
  <c r="K15" i="11"/>
  <c r="D30" i="11"/>
  <c r="K12" i="11"/>
  <c r="L11" i="11" s="1"/>
  <c r="E30" i="10"/>
  <c r="I31" i="8"/>
  <c r="I17" i="8"/>
  <c r="I24" i="8"/>
  <c r="W15" i="9"/>
  <c r="N22" i="9"/>
  <c r="P22" i="9"/>
  <c r="R22" i="9" s="1"/>
  <c r="T22" i="9" s="1"/>
  <c r="V22" i="9" s="1"/>
  <c r="D26" i="9"/>
  <c r="C27" i="9"/>
  <c r="C24" i="9"/>
  <c r="P21" i="9"/>
  <c r="R21" i="9" s="1"/>
  <c r="T21" i="9" s="1"/>
  <c r="V21" i="9" s="1"/>
  <c r="W14" i="9"/>
  <c r="Y21" i="9"/>
  <c r="N21" i="9"/>
  <c r="P20" i="9"/>
  <c r="R20" i="9" s="1"/>
  <c r="T20" i="9" s="1"/>
  <c r="V20" i="9" s="1"/>
  <c r="N20" i="9"/>
  <c r="W13" i="9"/>
  <c r="Y19" i="9"/>
  <c r="P19" i="9"/>
  <c r="R19" i="9" s="1"/>
  <c r="T19" i="9" s="1"/>
  <c r="V19" i="9" s="1"/>
  <c r="W12" i="9"/>
  <c r="N19" i="9"/>
  <c r="E33" i="6"/>
  <c r="F33" i="6"/>
  <c r="G33" i="6" s="1"/>
  <c r="F27" i="6"/>
  <c r="F32" i="6"/>
  <c r="G32" i="6" s="1"/>
  <c r="F31" i="6"/>
  <c r="G31" i="6" s="1"/>
  <c r="F30" i="6"/>
  <c r="G30" i="6" s="1"/>
  <c r="H26" i="6"/>
  <c r="Q19" i="5"/>
  <c r="S19" i="5" s="1"/>
  <c r="U19" i="5" s="1"/>
  <c r="W19" i="5" s="1"/>
  <c r="O19" i="5"/>
  <c r="F26" i="5"/>
  <c r="D27" i="5"/>
  <c r="D33" i="5"/>
  <c r="E33" i="5" s="1"/>
  <c r="D30" i="5"/>
  <c r="E30" i="5" s="1"/>
  <c r="D32" i="5"/>
  <c r="E32" i="5" s="1"/>
  <c r="D31" i="5"/>
  <c r="E31" i="5" s="1"/>
  <c r="O20" i="5"/>
  <c r="Q20" i="5"/>
  <c r="S20" i="5" s="1"/>
  <c r="U20" i="5" s="1"/>
  <c r="W20" i="5" s="1"/>
  <c r="O21" i="5"/>
  <c r="Q21" i="5"/>
  <c r="S21" i="5" s="1"/>
  <c r="U21" i="5" s="1"/>
  <c r="W21" i="5" s="1"/>
  <c r="Q22" i="5"/>
  <c r="S22" i="5" s="1"/>
  <c r="U22" i="5" s="1"/>
  <c r="W22" i="5" s="1"/>
  <c r="O22" i="5"/>
  <c r="D26" i="4"/>
  <c r="C27" i="4"/>
  <c r="C24" i="4"/>
  <c r="N21" i="4"/>
  <c r="W14" i="4"/>
  <c r="P21" i="4"/>
  <c r="R21" i="4" s="1"/>
  <c r="T21" i="4" s="1"/>
  <c r="V21" i="4" s="1"/>
  <c r="P19" i="4"/>
  <c r="R19" i="4" s="1"/>
  <c r="T19" i="4" s="1"/>
  <c r="V19" i="4" s="1"/>
  <c r="N19" i="4"/>
  <c r="W12" i="4"/>
  <c r="W15" i="4"/>
  <c r="N22" i="4"/>
  <c r="P22" i="4"/>
  <c r="R22" i="4" s="1"/>
  <c r="T22" i="4" s="1"/>
  <c r="V22" i="4" s="1"/>
  <c r="N20" i="4"/>
  <c r="P20" i="4"/>
  <c r="R20" i="4" s="1"/>
  <c r="T20" i="4" s="1"/>
  <c r="V20" i="4" s="1"/>
  <c r="W13" i="4"/>
  <c r="W14" i="1"/>
  <c r="O21" i="1" s="1"/>
  <c r="O20" i="1"/>
  <c r="P19" i="1"/>
  <c r="R19" i="1" s="1"/>
  <c r="T19" i="1" s="1"/>
  <c r="V19" i="1" s="1"/>
  <c r="N19" i="1"/>
  <c r="W12" i="1"/>
  <c r="Q19" i="1" s="1"/>
  <c r="S19" i="1" s="1"/>
  <c r="U19" i="1" s="1"/>
  <c r="W19" i="1" s="1"/>
  <c r="P22" i="1"/>
  <c r="R22" i="1" s="1"/>
  <c r="T22" i="1" s="1"/>
  <c r="V22" i="1" s="1"/>
  <c r="N22" i="1"/>
  <c r="D26" i="1"/>
  <c r="C27" i="1"/>
  <c r="P20" i="1"/>
  <c r="R20" i="1" s="1"/>
  <c r="T20" i="1" s="1"/>
  <c r="V20" i="1" s="1"/>
  <c r="N20" i="1"/>
  <c r="P21" i="1"/>
  <c r="R21" i="1" s="1"/>
  <c r="T21" i="1" s="1"/>
  <c r="V21" i="1" s="1"/>
  <c r="N21" i="1"/>
  <c r="Q20" i="1"/>
  <c r="S20" i="1" s="1"/>
  <c r="U20" i="1" s="1"/>
  <c r="W20" i="1" s="1"/>
  <c r="Q22" i="1"/>
  <c r="S22" i="1" s="1"/>
  <c r="U22" i="1" s="1"/>
  <c r="W22" i="1" s="1"/>
  <c r="K10" i="11" l="1"/>
  <c r="E30" i="11"/>
  <c r="F30" i="10"/>
  <c r="O19" i="9"/>
  <c r="Q19" i="9"/>
  <c r="S19" i="9" s="1"/>
  <c r="U19" i="9" s="1"/>
  <c r="W19" i="9" s="1"/>
  <c r="O21" i="9"/>
  <c r="Q21" i="9"/>
  <c r="S21" i="9" s="1"/>
  <c r="U21" i="9" s="1"/>
  <c r="W21" i="9" s="1"/>
  <c r="F26" i="9"/>
  <c r="D31" i="9"/>
  <c r="E31" i="9" s="1"/>
  <c r="D27" i="9"/>
  <c r="D30" i="9"/>
  <c r="E30" i="9" s="1"/>
  <c r="D33" i="9"/>
  <c r="E33" i="9" s="1"/>
  <c r="D32" i="9"/>
  <c r="E32" i="9" s="1"/>
  <c r="Y20" i="9"/>
  <c r="O20" i="9"/>
  <c r="Q20" i="9"/>
  <c r="S20" i="9" s="1"/>
  <c r="U20" i="9" s="1"/>
  <c r="W20" i="9" s="1"/>
  <c r="Q22" i="9"/>
  <c r="S22" i="9" s="1"/>
  <c r="U22" i="9" s="1"/>
  <c r="W22" i="9" s="1"/>
  <c r="O22" i="9"/>
  <c r="H33" i="6"/>
  <c r="I33" i="6" s="1"/>
  <c r="H31" i="6"/>
  <c r="I31" i="6" s="1"/>
  <c r="H27" i="6"/>
  <c r="J26" i="6"/>
  <c r="H32" i="6"/>
  <c r="I32" i="6" s="1"/>
  <c r="H30" i="6"/>
  <c r="I30" i="6" s="1"/>
  <c r="F33" i="5"/>
  <c r="G33" i="5" s="1"/>
  <c r="F27" i="5"/>
  <c r="F32" i="5"/>
  <c r="G32" i="5" s="1"/>
  <c r="F31" i="5"/>
  <c r="G31" i="5" s="1"/>
  <c r="F30" i="5"/>
  <c r="G30" i="5" s="1"/>
  <c r="H26" i="5"/>
  <c r="Q19" i="4"/>
  <c r="S19" i="4" s="1"/>
  <c r="U19" i="4" s="1"/>
  <c r="W19" i="4" s="1"/>
  <c r="O19" i="4"/>
  <c r="Q22" i="4"/>
  <c r="S22" i="4" s="1"/>
  <c r="U22" i="4" s="1"/>
  <c r="W22" i="4" s="1"/>
  <c r="O22" i="4"/>
  <c r="O20" i="4"/>
  <c r="Q20" i="4"/>
  <c r="S20" i="4" s="1"/>
  <c r="U20" i="4" s="1"/>
  <c r="W20" i="4" s="1"/>
  <c r="O21" i="4"/>
  <c r="Q21" i="4"/>
  <c r="S21" i="4" s="1"/>
  <c r="U21" i="4" s="1"/>
  <c r="W21" i="4" s="1"/>
  <c r="D27" i="4"/>
  <c r="D30" i="4"/>
  <c r="E30" i="4" s="1"/>
  <c r="F26" i="4"/>
  <c r="D31" i="4"/>
  <c r="E31" i="4" s="1"/>
  <c r="D33" i="4"/>
  <c r="E33" i="4" s="1"/>
  <c r="D32" i="4"/>
  <c r="E32" i="4" s="1"/>
  <c r="Q21" i="1"/>
  <c r="S21" i="1" s="1"/>
  <c r="U21" i="1" s="1"/>
  <c r="W21" i="1" s="1"/>
  <c r="O19" i="1"/>
  <c r="D33" i="1"/>
  <c r="E33" i="1" s="1"/>
  <c r="D30" i="1"/>
  <c r="E30" i="1" s="1"/>
  <c r="D31" i="1"/>
  <c r="E31" i="1" s="1"/>
  <c r="D32" i="1"/>
  <c r="E32" i="1" s="1"/>
  <c r="F26" i="1"/>
  <c r="D27" i="1"/>
  <c r="F30" i="11" l="1"/>
  <c r="L17" i="11"/>
  <c r="L15" i="11"/>
  <c r="L18" i="11"/>
  <c r="L16" i="11"/>
  <c r="L12" i="11"/>
  <c r="M11" i="11" s="1"/>
  <c r="G30" i="10"/>
  <c r="F31" i="9"/>
  <c r="G31" i="9" s="1"/>
  <c r="F33" i="9"/>
  <c r="G33" i="9" s="1"/>
  <c r="F30" i="9"/>
  <c r="G30" i="9" s="1"/>
  <c r="F27" i="9"/>
  <c r="H26" i="9"/>
  <c r="F32" i="9"/>
  <c r="G32" i="9" s="1"/>
  <c r="J33" i="6"/>
  <c r="K33" i="6" s="1"/>
  <c r="J32" i="6"/>
  <c r="K32" i="6" s="1"/>
  <c r="J31" i="6"/>
  <c r="K31" i="6" s="1"/>
  <c r="J30" i="6"/>
  <c r="K30" i="6" s="1"/>
  <c r="L26" i="6"/>
  <c r="J27" i="6"/>
  <c r="H33" i="5"/>
  <c r="I33" i="5" s="1"/>
  <c r="J26" i="5"/>
  <c r="H32" i="5"/>
  <c r="I32" i="5" s="1"/>
  <c r="H31" i="5"/>
  <c r="I31" i="5" s="1"/>
  <c r="H27" i="5"/>
  <c r="H30" i="5"/>
  <c r="I30" i="5" s="1"/>
  <c r="F32" i="4"/>
  <c r="G32" i="4" s="1"/>
  <c r="F31" i="4"/>
  <c r="G31" i="4" s="1"/>
  <c r="F30" i="4"/>
  <c r="G30" i="4" s="1"/>
  <c r="F27" i="4"/>
  <c r="H26" i="4"/>
  <c r="F33" i="4"/>
  <c r="G33" i="4" s="1"/>
  <c r="F30" i="1"/>
  <c r="G30" i="1" s="1"/>
  <c r="F32" i="1"/>
  <c r="G32" i="1" s="1"/>
  <c r="F31" i="1"/>
  <c r="G31" i="1" s="1"/>
  <c r="F33" i="1"/>
  <c r="G33" i="1" s="1"/>
  <c r="H26" i="1"/>
  <c r="F27" i="1"/>
  <c r="L10" i="11" l="1"/>
  <c r="G30" i="11"/>
  <c r="H30" i="10"/>
  <c r="J26" i="9"/>
  <c r="H27" i="9"/>
  <c r="H33" i="9"/>
  <c r="I33" i="9" s="1"/>
  <c r="H32" i="9"/>
  <c r="I32" i="9" s="1"/>
  <c r="H31" i="9"/>
  <c r="I31" i="9" s="1"/>
  <c r="H30" i="9"/>
  <c r="I30" i="9" s="1"/>
  <c r="N26" i="6"/>
  <c r="L27" i="6"/>
  <c r="L32" i="6"/>
  <c r="L30" i="6"/>
  <c r="L33" i="6"/>
  <c r="L31" i="6"/>
  <c r="J33" i="5"/>
  <c r="K33" i="5" s="1"/>
  <c r="J32" i="5"/>
  <c r="K32" i="5" s="1"/>
  <c r="J31" i="5"/>
  <c r="K31" i="5" s="1"/>
  <c r="J30" i="5"/>
  <c r="K30" i="5" s="1"/>
  <c r="L26" i="5"/>
  <c r="J27" i="5"/>
  <c r="H32" i="4"/>
  <c r="I32" i="4" s="1"/>
  <c r="H33" i="4"/>
  <c r="I33" i="4" s="1"/>
  <c r="H30" i="4"/>
  <c r="I30" i="4" s="1"/>
  <c r="H31" i="4"/>
  <c r="I31" i="4" s="1"/>
  <c r="H27" i="4"/>
  <c r="J26" i="4"/>
  <c r="H31" i="1"/>
  <c r="I31" i="1" s="1"/>
  <c r="H33" i="1"/>
  <c r="I33" i="1" s="1"/>
  <c r="H30" i="1"/>
  <c r="I30" i="1" s="1"/>
  <c r="H32" i="1"/>
  <c r="I32" i="1" s="1"/>
  <c r="J26" i="1"/>
  <c r="H27" i="1"/>
  <c r="H30" i="11" l="1"/>
  <c r="M18" i="11"/>
  <c r="M16" i="11"/>
  <c r="M17" i="11"/>
  <c r="M15" i="11"/>
  <c r="M12" i="11"/>
  <c r="I30" i="10"/>
  <c r="J31" i="9"/>
  <c r="K31" i="9" s="1"/>
  <c r="J30" i="9"/>
  <c r="K30" i="9" s="1"/>
  <c r="J33" i="9"/>
  <c r="K33" i="9" s="1"/>
  <c r="L26" i="9"/>
  <c r="J32" i="9"/>
  <c r="K32" i="9" s="1"/>
  <c r="J27" i="9"/>
  <c r="F37" i="6"/>
  <c r="H37" i="6" s="1"/>
  <c r="J37" i="6" s="1"/>
  <c r="L37" i="6" s="1"/>
  <c r="D37" i="6"/>
  <c r="M30" i="6"/>
  <c r="D39" i="6"/>
  <c r="M32" i="6"/>
  <c r="F39" i="6"/>
  <c r="H39" i="6" s="1"/>
  <c r="J39" i="6" s="1"/>
  <c r="L39" i="6" s="1"/>
  <c r="D38" i="6"/>
  <c r="F38" i="6"/>
  <c r="H38" i="6" s="1"/>
  <c r="J38" i="6" s="1"/>
  <c r="L38" i="6" s="1"/>
  <c r="M31" i="6"/>
  <c r="F40" i="6"/>
  <c r="H40" i="6" s="1"/>
  <c r="J40" i="6" s="1"/>
  <c r="L40" i="6" s="1"/>
  <c r="M33" i="6"/>
  <c r="D40" i="6"/>
  <c r="N33" i="6"/>
  <c r="O33" i="6" s="1"/>
  <c r="N27" i="6"/>
  <c r="N32" i="6"/>
  <c r="O32" i="6" s="1"/>
  <c r="N31" i="6"/>
  <c r="O31" i="6" s="1"/>
  <c r="N30" i="6"/>
  <c r="O30" i="6" s="1"/>
  <c r="P26" i="6"/>
  <c r="N26" i="5"/>
  <c r="L27" i="5"/>
  <c r="L33" i="5"/>
  <c r="L32" i="5"/>
  <c r="L31" i="5"/>
  <c r="L30" i="5"/>
  <c r="J32" i="4"/>
  <c r="K32" i="4" s="1"/>
  <c r="J31" i="4"/>
  <c r="K31" i="4" s="1"/>
  <c r="J30" i="4"/>
  <c r="K30" i="4" s="1"/>
  <c r="L26" i="4"/>
  <c r="J33" i="4"/>
  <c r="K33" i="4" s="1"/>
  <c r="J27" i="4"/>
  <c r="J30" i="1"/>
  <c r="K30" i="1" s="1"/>
  <c r="J32" i="1"/>
  <c r="K32" i="1" s="1"/>
  <c r="J31" i="1"/>
  <c r="K31" i="1" s="1"/>
  <c r="J33" i="1"/>
  <c r="K33" i="1" s="1"/>
  <c r="L26" i="1"/>
  <c r="J27" i="1"/>
  <c r="I22" i="11" l="1"/>
  <c r="O22" i="11"/>
  <c r="J22" i="11"/>
  <c r="K22" i="11" s="1"/>
  <c r="L22" i="11" s="1"/>
  <c r="M22" i="11" s="1"/>
  <c r="J25" i="11"/>
  <c r="K25" i="11" s="1"/>
  <c r="L25" i="11" s="1"/>
  <c r="M25" i="11" s="1"/>
  <c r="C33" i="11"/>
  <c r="M10" i="11"/>
  <c r="J24" i="11"/>
  <c r="K24" i="11" s="1"/>
  <c r="L24" i="11" s="1"/>
  <c r="M24" i="11" s="1"/>
  <c r="I24" i="11"/>
  <c r="I21" i="11"/>
  <c r="O21" i="11"/>
  <c r="J21" i="11"/>
  <c r="K21" i="11" s="1"/>
  <c r="L21" i="11" s="1"/>
  <c r="M21" i="11" s="1"/>
  <c r="I23" i="11"/>
  <c r="O23" i="11"/>
  <c r="J23" i="11"/>
  <c r="K23" i="11" s="1"/>
  <c r="L23" i="11" s="1"/>
  <c r="M23" i="11" s="1"/>
  <c r="I30" i="11"/>
  <c r="J30" i="10"/>
  <c r="L33" i="9"/>
  <c r="L27" i="9"/>
  <c r="L30" i="9"/>
  <c r="L32" i="9"/>
  <c r="N26" i="9"/>
  <c r="L31" i="9"/>
  <c r="G40" i="6"/>
  <c r="I40" i="6" s="1"/>
  <c r="K40" i="6" s="1"/>
  <c r="M40" i="6" s="1"/>
  <c r="E40" i="6"/>
  <c r="E37" i="6"/>
  <c r="G37" i="6"/>
  <c r="I37" i="6" s="1"/>
  <c r="K37" i="6" s="1"/>
  <c r="M37" i="6" s="1"/>
  <c r="P33" i="6"/>
  <c r="Q33" i="6" s="1"/>
  <c r="R26" i="6"/>
  <c r="P31" i="6"/>
  <c r="Q31" i="6" s="1"/>
  <c r="P27" i="6"/>
  <c r="P32" i="6"/>
  <c r="Q32" i="6" s="1"/>
  <c r="P30" i="6"/>
  <c r="Q30" i="6" s="1"/>
  <c r="G38" i="6"/>
  <c r="I38" i="6" s="1"/>
  <c r="K38" i="6" s="1"/>
  <c r="M38" i="6" s="1"/>
  <c r="G39" i="6"/>
  <c r="I39" i="6" s="1"/>
  <c r="K39" i="6" s="1"/>
  <c r="M39" i="6" s="1"/>
  <c r="E39" i="6"/>
  <c r="N33" i="5"/>
  <c r="O33" i="5" s="1"/>
  <c r="N27" i="5"/>
  <c r="N32" i="5"/>
  <c r="O32" i="5" s="1"/>
  <c r="N31" i="5"/>
  <c r="O31" i="5" s="1"/>
  <c r="N30" i="5"/>
  <c r="O30" i="5" s="1"/>
  <c r="P26" i="5"/>
  <c r="D39" i="5"/>
  <c r="S12" i="8" s="1"/>
  <c r="F39" i="5"/>
  <c r="H39" i="5" s="1"/>
  <c r="J39" i="5" s="1"/>
  <c r="L39" i="5" s="1"/>
  <c r="M32" i="5"/>
  <c r="F40" i="5"/>
  <c r="H40" i="5" s="1"/>
  <c r="J40" i="5" s="1"/>
  <c r="L40" i="5" s="1"/>
  <c r="M33" i="5"/>
  <c r="D40" i="5"/>
  <c r="D38" i="5"/>
  <c r="M31" i="5"/>
  <c r="F38" i="5"/>
  <c r="H38" i="5" s="1"/>
  <c r="J38" i="5" s="1"/>
  <c r="L38" i="5" s="1"/>
  <c r="F37" i="5"/>
  <c r="H37" i="5" s="1"/>
  <c r="J37" i="5" s="1"/>
  <c r="L37" i="5" s="1"/>
  <c r="D37" i="5"/>
  <c r="S10" i="8" s="1"/>
  <c r="M30" i="5"/>
  <c r="L27" i="4"/>
  <c r="L31" i="4"/>
  <c r="L32" i="4"/>
  <c r="N26" i="4"/>
  <c r="L33" i="4"/>
  <c r="L30" i="4"/>
  <c r="L31" i="1"/>
  <c r="L33" i="1"/>
  <c r="L30" i="1"/>
  <c r="L32" i="1"/>
  <c r="N26" i="1"/>
  <c r="L27" i="1"/>
  <c r="J30" i="11" l="1"/>
  <c r="C31" i="11"/>
  <c r="K30" i="10"/>
  <c r="F37" i="9"/>
  <c r="H37" i="9" s="1"/>
  <c r="J37" i="9" s="1"/>
  <c r="L37" i="9" s="1"/>
  <c r="D37" i="9"/>
  <c r="M30" i="9"/>
  <c r="M31" i="9"/>
  <c r="F38" i="9"/>
  <c r="H38" i="9" s="1"/>
  <c r="J38" i="9" s="1"/>
  <c r="L38" i="9" s="1"/>
  <c r="D38" i="9"/>
  <c r="M32" i="9"/>
  <c r="D39" i="9"/>
  <c r="F39" i="9"/>
  <c r="H39" i="9" s="1"/>
  <c r="J39" i="9" s="1"/>
  <c r="L39" i="9" s="1"/>
  <c r="N32" i="9"/>
  <c r="O32" i="9" s="1"/>
  <c r="N31" i="9"/>
  <c r="O31" i="9" s="1"/>
  <c r="N33" i="9"/>
  <c r="O33" i="9" s="1"/>
  <c r="N30" i="9"/>
  <c r="O30" i="9" s="1"/>
  <c r="N27" i="9"/>
  <c r="P26" i="9"/>
  <c r="F40" i="9"/>
  <c r="H40" i="9" s="1"/>
  <c r="J40" i="9" s="1"/>
  <c r="L40" i="9" s="1"/>
  <c r="M33" i="9"/>
  <c r="D40" i="9"/>
  <c r="R33" i="6"/>
  <c r="S33" i="6" s="1"/>
  <c r="R32" i="6"/>
  <c r="S32" i="6" s="1"/>
  <c r="R31" i="6"/>
  <c r="S31" i="6" s="1"/>
  <c r="R30" i="6"/>
  <c r="S30" i="6" s="1"/>
  <c r="T26" i="6"/>
  <c r="R27" i="6"/>
  <c r="G40" i="5"/>
  <c r="I40" i="5" s="1"/>
  <c r="K40" i="5" s="1"/>
  <c r="M40" i="5" s="1"/>
  <c r="E40" i="5"/>
  <c r="G39" i="5"/>
  <c r="I39" i="5" s="1"/>
  <c r="K39" i="5" s="1"/>
  <c r="M39" i="5" s="1"/>
  <c r="E39" i="5"/>
  <c r="E37" i="5"/>
  <c r="G37" i="5"/>
  <c r="I37" i="5" s="1"/>
  <c r="K37" i="5" s="1"/>
  <c r="M37" i="5" s="1"/>
  <c r="E38" i="5"/>
  <c r="S11" i="8" s="1"/>
  <c r="G38" i="5"/>
  <c r="I38" i="5" s="1"/>
  <c r="K38" i="5" s="1"/>
  <c r="M38" i="5" s="1"/>
  <c r="P33" i="5"/>
  <c r="Q33" i="5" s="1"/>
  <c r="R26" i="5"/>
  <c r="P31" i="5"/>
  <c r="Q31" i="5" s="1"/>
  <c r="P30" i="5"/>
  <c r="Q30" i="5" s="1"/>
  <c r="P27" i="5"/>
  <c r="P32" i="5"/>
  <c r="Q32" i="5" s="1"/>
  <c r="N32" i="4"/>
  <c r="O32" i="4" s="1"/>
  <c r="N31" i="4"/>
  <c r="O31" i="4" s="1"/>
  <c r="N30" i="4"/>
  <c r="O30" i="4" s="1"/>
  <c r="N27" i="4"/>
  <c r="P26" i="4"/>
  <c r="N33" i="4"/>
  <c r="O33" i="4" s="1"/>
  <c r="F37" i="4"/>
  <c r="H37" i="4" s="1"/>
  <c r="J37" i="4" s="1"/>
  <c r="L37" i="4" s="1"/>
  <c r="D37" i="4"/>
  <c r="M30" i="4"/>
  <c r="D38" i="4"/>
  <c r="F38" i="4"/>
  <c r="H38" i="4" s="1"/>
  <c r="J38" i="4" s="1"/>
  <c r="L38" i="4" s="1"/>
  <c r="M31" i="4"/>
  <c r="D39" i="4"/>
  <c r="M32" i="4"/>
  <c r="F39" i="4"/>
  <c r="H39" i="4" s="1"/>
  <c r="J39" i="4" s="1"/>
  <c r="L39" i="4" s="1"/>
  <c r="F40" i="4"/>
  <c r="H40" i="4" s="1"/>
  <c r="J40" i="4" s="1"/>
  <c r="L40" i="4" s="1"/>
  <c r="M33" i="4"/>
  <c r="D40" i="4"/>
  <c r="M32" i="1"/>
  <c r="E39" i="1" s="1"/>
  <c r="D39" i="1"/>
  <c r="Q12" i="8" s="1"/>
  <c r="Q33" i="8" s="1"/>
  <c r="F39" i="1"/>
  <c r="H39" i="1" s="1"/>
  <c r="J39" i="1" s="1"/>
  <c r="L39" i="1" s="1"/>
  <c r="F37" i="1"/>
  <c r="H37" i="1" s="1"/>
  <c r="J37" i="1" s="1"/>
  <c r="L37" i="1" s="1"/>
  <c r="D37" i="1"/>
  <c r="Q10" i="8" s="1"/>
  <c r="M30" i="1"/>
  <c r="E37" i="1" s="1"/>
  <c r="D40" i="1"/>
  <c r="M33" i="1"/>
  <c r="E40" i="1" s="1"/>
  <c r="F40" i="1"/>
  <c r="H40" i="1" s="1"/>
  <c r="J40" i="1" s="1"/>
  <c r="L40" i="1" s="1"/>
  <c r="N30" i="1"/>
  <c r="O30" i="1" s="1"/>
  <c r="N32" i="1"/>
  <c r="O32" i="1" s="1"/>
  <c r="N31" i="1"/>
  <c r="O31" i="1" s="1"/>
  <c r="N33" i="1"/>
  <c r="O33" i="1" s="1"/>
  <c r="M31" i="1"/>
  <c r="E38" i="1" s="1"/>
  <c r="Q11" i="8" s="1"/>
  <c r="D38" i="1"/>
  <c r="F38" i="1"/>
  <c r="H38" i="1" s="1"/>
  <c r="J38" i="1" s="1"/>
  <c r="L38" i="1" s="1"/>
  <c r="P26" i="1"/>
  <c r="N27" i="1"/>
  <c r="S32" i="8" l="1"/>
  <c r="S25" i="8"/>
  <c r="S18" i="8"/>
  <c r="D37" i="11"/>
  <c r="D36" i="11"/>
  <c r="D39" i="11"/>
  <c r="D38" i="11"/>
  <c r="D33" i="11"/>
  <c r="E32" i="11" s="1"/>
  <c r="K30" i="11"/>
  <c r="L30" i="10"/>
  <c r="Q26" i="8"/>
  <c r="Q19" i="8"/>
  <c r="Q31" i="8"/>
  <c r="Q24" i="8"/>
  <c r="Q17" i="8"/>
  <c r="E38" i="9"/>
  <c r="G38" i="9"/>
  <c r="I38" i="9" s="1"/>
  <c r="K38" i="9" s="1"/>
  <c r="M38" i="9" s="1"/>
  <c r="P32" i="9"/>
  <c r="Q32" i="9" s="1"/>
  <c r="P33" i="9"/>
  <c r="Q33" i="9" s="1"/>
  <c r="P30" i="9"/>
  <c r="Q30" i="9" s="1"/>
  <c r="P31" i="9"/>
  <c r="Q31" i="9" s="1"/>
  <c r="R26" i="9"/>
  <c r="P27" i="9"/>
  <c r="G39" i="9"/>
  <c r="I39" i="9" s="1"/>
  <c r="K39" i="9" s="1"/>
  <c r="M39" i="9" s="1"/>
  <c r="E39" i="9"/>
  <c r="E37" i="9"/>
  <c r="G37" i="9"/>
  <c r="I37" i="9" s="1"/>
  <c r="K37" i="9" s="1"/>
  <c r="M37" i="9" s="1"/>
  <c r="G40" i="9"/>
  <c r="I40" i="9" s="1"/>
  <c r="K40" i="9" s="1"/>
  <c r="M40" i="9" s="1"/>
  <c r="E40" i="9"/>
  <c r="S26" i="8"/>
  <c r="S33" i="8"/>
  <c r="S19" i="8"/>
  <c r="S24" i="8"/>
  <c r="S31" i="8"/>
  <c r="S17" i="8"/>
  <c r="V26" i="6"/>
  <c r="T27" i="6"/>
  <c r="T32" i="6"/>
  <c r="U32" i="6" s="1"/>
  <c r="T30" i="6"/>
  <c r="U30" i="6" s="1"/>
  <c r="T33" i="6"/>
  <c r="U33" i="6" s="1"/>
  <c r="T31" i="6"/>
  <c r="U31" i="6" s="1"/>
  <c r="R33" i="5"/>
  <c r="S33" i="5" s="1"/>
  <c r="R32" i="5"/>
  <c r="S32" i="5" s="1"/>
  <c r="R31" i="5"/>
  <c r="S31" i="5" s="1"/>
  <c r="R30" i="5"/>
  <c r="S30" i="5" s="1"/>
  <c r="T26" i="5"/>
  <c r="R27" i="5"/>
  <c r="G38" i="4"/>
  <c r="I38" i="4" s="1"/>
  <c r="K38" i="4" s="1"/>
  <c r="M38" i="4" s="1"/>
  <c r="E38" i="4"/>
  <c r="G39" i="4"/>
  <c r="I39" i="4" s="1"/>
  <c r="K39" i="4" s="1"/>
  <c r="M39" i="4" s="1"/>
  <c r="E39" i="4"/>
  <c r="G40" i="4"/>
  <c r="I40" i="4" s="1"/>
  <c r="K40" i="4" s="1"/>
  <c r="M40" i="4" s="1"/>
  <c r="E40" i="4"/>
  <c r="E37" i="4"/>
  <c r="G37" i="4"/>
  <c r="I37" i="4" s="1"/>
  <c r="K37" i="4" s="1"/>
  <c r="M37" i="4" s="1"/>
  <c r="P30" i="4"/>
  <c r="Q30" i="4" s="1"/>
  <c r="P27" i="4"/>
  <c r="R26" i="4"/>
  <c r="P33" i="4"/>
  <c r="Q33" i="4" s="1"/>
  <c r="P31" i="4"/>
  <c r="Q31" i="4" s="1"/>
  <c r="P32" i="4"/>
  <c r="Q32" i="4" s="1"/>
  <c r="G40" i="1"/>
  <c r="I40" i="1" s="1"/>
  <c r="K40" i="1" s="1"/>
  <c r="M40" i="1" s="1"/>
  <c r="G38" i="1"/>
  <c r="I38" i="1" s="1"/>
  <c r="K38" i="1" s="1"/>
  <c r="M38" i="1" s="1"/>
  <c r="G37" i="1"/>
  <c r="I37" i="1" s="1"/>
  <c r="K37" i="1" s="1"/>
  <c r="M37" i="1" s="1"/>
  <c r="P31" i="1"/>
  <c r="Q31" i="1" s="1"/>
  <c r="P33" i="1"/>
  <c r="Q33" i="1" s="1"/>
  <c r="P30" i="1"/>
  <c r="Q30" i="1" s="1"/>
  <c r="P32" i="1"/>
  <c r="Q32" i="1" s="1"/>
  <c r="G39" i="1"/>
  <c r="I39" i="1" s="1"/>
  <c r="K39" i="1" s="1"/>
  <c r="M39" i="1" s="1"/>
  <c r="P27" i="1"/>
  <c r="R26" i="1"/>
  <c r="L30" i="11" l="1"/>
  <c r="D31" i="11"/>
  <c r="M30" i="10"/>
  <c r="R31" i="9"/>
  <c r="S31" i="9" s="1"/>
  <c r="R30" i="9"/>
  <c r="S30" i="9" s="1"/>
  <c r="R33" i="9"/>
  <c r="S33" i="9" s="1"/>
  <c r="T26" i="9"/>
  <c r="R32" i="9"/>
  <c r="S32" i="9" s="1"/>
  <c r="R27" i="9"/>
  <c r="V33" i="6"/>
  <c r="V27" i="6"/>
  <c r="V32" i="6"/>
  <c r="V31" i="6"/>
  <c r="V30" i="6"/>
  <c r="V26" i="5"/>
  <c r="T27" i="5"/>
  <c r="T33" i="5"/>
  <c r="U33" i="5" s="1"/>
  <c r="T30" i="5"/>
  <c r="U30" i="5" s="1"/>
  <c r="T32" i="5"/>
  <c r="U32" i="5" s="1"/>
  <c r="T31" i="5"/>
  <c r="U31" i="5" s="1"/>
  <c r="R32" i="4"/>
  <c r="S32" i="4" s="1"/>
  <c r="R31" i="4"/>
  <c r="S31" i="4" s="1"/>
  <c r="R30" i="4"/>
  <c r="S30" i="4" s="1"/>
  <c r="T26" i="4"/>
  <c r="R33" i="4"/>
  <c r="S33" i="4" s="1"/>
  <c r="R27" i="4"/>
  <c r="R30" i="1"/>
  <c r="S30" i="1" s="1"/>
  <c r="R32" i="1"/>
  <c r="S32" i="1" s="1"/>
  <c r="R31" i="1"/>
  <c r="S31" i="1" s="1"/>
  <c r="R33" i="1"/>
  <c r="S33" i="1" s="1"/>
  <c r="R27" i="1"/>
  <c r="T26" i="1"/>
  <c r="E37" i="11" l="1"/>
  <c r="E39" i="11"/>
  <c r="E38" i="11"/>
  <c r="E36" i="11"/>
  <c r="E33" i="11"/>
  <c r="F32" i="11" s="1"/>
  <c r="M30" i="11"/>
  <c r="T33" i="9"/>
  <c r="U33" i="9" s="1"/>
  <c r="T32" i="9"/>
  <c r="U32" i="9" s="1"/>
  <c r="V26" i="9"/>
  <c r="T31" i="9"/>
  <c r="U31" i="9" s="1"/>
  <c r="T27" i="9"/>
  <c r="T30" i="9"/>
  <c r="U30" i="9" s="1"/>
  <c r="P39" i="6"/>
  <c r="R39" i="6" s="1"/>
  <c r="T39" i="6" s="1"/>
  <c r="V39" i="6" s="1"/>
  <c r="W32" i="6"/>
  <c r="N39" i="6"/>
  <c r="W31" i="6"/>
  <c r="P38" i="6"/>
  <c r="R38" i="6" s="1"/>
  <c r="T38" i="6" s="1"/>
  <c r="V38" i="6" s="1"/>
  <c r="N38" i="6"/>
  <c r="N37" i="6"/>
  <c r="W30" i="6"/>
  <c r="P37" i="6"/>
  <c r="R37" i="6" s="1"/>
  <c r="T37" i="6" s="1"/>
  <c r="V37" i="6" s="1"/>
  <c r="N40" i="6"/>
  <c r="W33" i="6"/>
  <c r="P40" i="6"/>
  <c r="R40" i="6" s="1"/>
  <c r="T40" i="6" s="1"/>
  <c r="V40" i="6" s="1"/>
  <c r="V33" i="5"/>
  <c r="V27" i="5"/>
  <c r="V32" i="5"/>
  <c r="Y39" i="5" s="1"/>
  <c r="T12" i="8" s="1"/>
  <c r="V31" i="5"/>
  <c r="V30" i="5"/>
  <c r="Y37" i="5" s="1"/>
  <c r="T10" i="8" s="1"/>
  <c r="T27" i="4"/>
  <c r="T30" i="4"/>
  <c r="U30" i="4" s="1"/>
  <c r="T31" i="4"/>
  <c r="U31" i="4" s="1"/>
  <c r="T33" i="4"/>
  <c r="U33" i="4" s="1"/>
  <c r="T32" i="4"/>
  <c r="U32" i="4" s="1"/>
  <c r="V26" i="4"/>
  <c r="T31" i="1"/>
  <c r="U31" i="1" s="1"/>
  <c r="T33" i="1"/>
  <c r="U33" i="1" s="1"/>
  <c r="T30" i="1"/>
  <c r="U30" i="1" s="1"/>
  <c r="T32" i="1"/>
  <c r="U32" i="1" s="1"/>
  <c r="V26" i="1"/>
  <c r="T27" i="1"/>
  <c r="E31" i="11" l="1"/>
  <c r="V32" i="9"/>
  <c r="V31" i="9"/>
  <c r="V33" i="9"/>
  <c r="V30" i="9"/>
  <c r="V27" i="9"/>
  <c r="O39" i="6"/>
  <c r="Q39" i="6"/>
  <c r="S39" i="6" s="1"/>
  <c r="U39" i="6" s="1"/>
  <c r="W39" i="6" s="1"/>
  <c r="O40" i="6"/>
  <c r="Q40" i="6"/>
  <c r="S40" i="6" s="1"/>
  <c r="U40" i="6" s="1"/>
  <c r="W40" i="6" s="1"/>
  <c r="Q37" i="6"/>
  <c r="S37" i="6" s="1"/>
  <c r="U37" i="6" s="1"/>
  <c r="W37" i="6" s="1"/>
  <c r="O37" i="6"/>
  <c r="Q38" i="6"/>
  <c r="S38" i="6" s="1"/>
  <c r="U38" i="6" s="1"/>
  <c r="W38" i="6" s="1"/>
  <c r="O38" i="6"/>
  <c r="N37" i="5"/>
  <c r="W30" i="5"/>
  <c r="P37" i="5"/>
  <c r="R37" i="5" s="1"/>
  <c r="T37" i="5" s="1"/>
  <c r="V37" i="5" s="1"/>
  <c r="N40" i="5"/>
  <c r="W33" i="5"/>
  <c r="P40" i="5"/>
  <c r="R40" i="5" s="1"/>
  <c r="T40" i="5" s="1"/>
  <c r="V40" i="5" s="1"/>
  <c r="P39" i="5"/>
  <c r="R39" i="5" s="1"/>
  <c r="T39" i="5" s="1"/>
  <c r="V39" i="5" s="1"/>
  <c r="W32" i="5"/>
  <c r="N39" i="5"/>
  <c r="W31" i="5"/>
  <c r="Y38" i="5" s="1"/>
  <c r="T11" i="8" s="1"/>
  <c r="P38" i="5"/>
  <c r="R38" i="5" s="1"/>
  <c r="T38" i="5" s="1"/>
  <c r="V38" i="5" s="1"/>
  <c r="N38" i="5"/>
  <c r="V32" i="4"/>
  <c r="Y39" i="4" s="1"/>
  <c r="V31" i="4"/>
  <c r="V30" i="4"/>
  <c r="Y37" i="4" s="1"/>
  <c r="V33" i="4"/>
  <c r="V27" i="4"/>
  <c r="V27" i="1"/>
  <c r="V30" i="1"/>
  <c r="Y37" i="1" s="1"/>
  <c r="R10" i="8" s="1"/>
  <c r="V32" i="1"/>
  <c r="Y39" i="1" s="1"/>
  <c r="R12" i="8" s="1"/>
  <c r="V31" i="1"/>
  <c r="V33" i="1"/>
  <c r="T32" i="8" l="1"/>
  <c r="T25" i="8"/>
  <c r="T18" i="8"/>
  <c r="F36" i="11"/>
  <c r="F37" i="11"/>
  <c r="F39" i="11"/>
  <c r="F38" i="11"/>
  <c r="F33" i="11"/>
  <c r="G32" i="11" s="1"/>
  <c r="R31" i="8"/>
  <c r="R17" i="8"/>
  <c r="R24" i="8"/>
  <c r="R26" i="8"/>
  <c r="R33" i="8"/>
  <c r="R19" i="8"/>
  <c r="P37" i="9"/>
  <c r="R37" i="9" s="1"/>
  <c r="T37" i="9" s="1"/>
  <c r="V37" i="9" s="1"/>
  <c r="N37" i="9"/>
  <c r="W30" i="9"/>
  <c r="Y37" i="9"/>
  <c r="N40" i="9"/>
  <c r="P40" i="9"/>
  <c r="R40" i="9" s="1"/>
  <c r="T40" i="9" s="1"/>
  <c r="V40" i="9" s="1"/>
  <c r="W33" i="9"/>
  <c r="N38" i="9"/>
  <c r="W31" i="9"/>
  <c r="P38" i="9"/>
  <c r="R38" i="9" s="1"/>
  <c r="T38" i="9" s="1"/>
  <c r="V38" i="9" s="1"/>
  <c r="N39" i="9"/>
  <c r="Y39" i="9"/>
  <c r="P39" i="9"/>
  <c r="R39" i="9" s="1"/>
  <c r="T39" i="9" s="1"/>
  <c r="V39" i="9" s="1"/>
  <c r="W32" i="9"/>
  <c r="T24" i="8"/>
  <c r="T31" i="8"/>
  <c r="T17" i="8"/>
  <c r="T19" i="8"/>
  <c r="T33" i="8"/>
  <c r="T26" i="8"/>
  <c r="O39" i="5"/>
  <c r="Q39" i="5"/>
  <c r="S39" i="5" s="1"/>
  <c r="U39" i="5" s="1"/>
  <c r="W39" i="5" s="1"/>
  <c r="O40" i="5"/>
  <c r="Q40" i="5"/>
  <c r="S40" i="5" s="1"/>
  <c r="U40" i="5" s="1"/>
  <c r="W40" i="5" s="1"/>
  <c r="Q37" i="5"/>
  <c r="S37" i="5" s="1"/>
  <c r="U37" i="5" s="1"/>
  <c r="W37" i="5" s="1"/>
  <c r="O37" i="5"/>
  <c r="Q38" i="5"/>
  <c r="S38" i="5" s="1"/>
  <c r="U38" i="5" s="1"/>
  <c r="W38" i="5" s="1"/>
  <c r="O38" i="5"/>
  <c r="N37" i="4"/>
  <c r="P37" i="4"/>
  <c r="R37" i="4" s="1"/>
  <c r="T37" i="4" s="1"/>
  <c r="V37" i="4" s="1"/>
  <c r="W30" i="4"/>
  <c r="P38" i="4"/>
  <c r="R38" i="4" s="1"/>
  <c r="T38" i="4" s="1"/>
  <c r="V38" i="4" s="1"/>
  <c r="N38" i="4"/>
  <c r="W31" i="4"/>
  <c r="Y38" i="4" s="1"/>
  <c r="N40" i="4"/>
  <c r="P40" i="4"/>
  <c r="R40" i="4" s="1"/>
  <c r="T40" i="4" s="1"/>
  <c r="V40" i="4" s="1"/>
  <c r="W33" i="4"/>
  <c r="W32" i="4"/>
  <c r="P39" i="4"/>
  <c r="R39" i="4" s="1"/>
  <c r="T39" i="4" s="1"/>
  <c r="V39" i="4" s="1"/>
  <c r="N39" i="4"/>
  <c r="P37" i="1"/>
  <c r="R37" i="1" s="1"/>
  <c r="T37" i="1" s="1"/>
  <c r="V37" i="1" s="1"/>
  <c r="W31" i="1"/>
  <c r="Y38" i="1" s="1"/>
  <c r="R11" i="8" s="1"/>
  <c r="N38" i="1"/>
  <c r="P38" i="1"/>
  <c r="R38" i="1" s="1"/>
  <c r="T38" i="1" s="1"/>
  <c r="V38" i="1" s="1"/>
  <c r="W32" i="1"/>
  <c r="O39" i="1" s="1"/>
  <c r="P39" i="1"/>
  <c r="R39" i="1" s="1"/>
  <c r="T39" i="1" s="1"/>
  <c r="V39" i="1" s="1"/>
  <c r="N39" i="1"/>
  <c r="W30" i="1"/>
  <c r="O37" i="1" s="1"/>
  <c r="N37" i="1"/>
  <c r="N40" i="1"/>
  <c r="P40" i="1"/>
  <c r="R40" i="1" s="1"/>
  <c r="T40" i="1" s="1"/>
  <c r="V40" i="1" s="1"/>
  <c r="W33" i="1"/>
  <c r="O40" i="1" s="1"/>
  <c r="F31" i="11" l="1"/>
  <c r="O40" i="9"/>
  <c r="Q40" i="9"/>
  <c r="S40" i="9" s="1"/>
  <c r="U40" i="9" s="1"/>
  <c r="W40" i="9" s="1"/>
  <c r="Q37" i="9"/>
  <c r="S37" i="9" s="1"/>
  <c r="U37" i="9" s="1"/>
  <c r="W37" i="9" s="1"/>
  <c r="O37" i="9"/>
  <c r="Q39" i="9"/>
  <c r="S39" i="9" s="1"/>
  <c r="U39" i="9" s="1"/>
  <c r="W39" i="9" s="1"/>
  <c r="O39" i="9"/>
  <c r="Y38" i="9"/>
  <c r="O38" i="9"/>
  <c r="Q38" i="9"/>
  <c r="S38" i="9" s="1"/>
  <c r="U38" i="9" s="1"/>
  <c r="W38" i="9" s="1"/>
  <c r="Q37" i="4"/>
  <c r="S37" i="4" s="1"/>
  <c r="U37" i="4" s="1"/>
  <c r="W37" i="4" s="1"/>
  <c r="O37" i="4"/>
  <c r="O39" i="4"/>
  <c r="Q39" i="4"/>
  <c r="S39" i="4" s="1"/>
  <c r="U39" i="4" s="1"/>
  <c r="W39" i="4" s="1"/>
  <c r="Q38" i="4"/>
  <c r="S38" i="4" s="1"/>
  <c r="U38" i="4" s="1"/>
  <c r="W38" i="4" s="1"/>
  <c r="O38" i="4"/>
  <c r="O40" i="4"/>
  <c r="Q40" i="4"/>
  <c r="S40" i="4" s="1"/>
  <c r="U40" i="4" s="1"/>
  <c r="W40" i="4" s="1"/>
  <c r="O38" i="1"/>
  <c r="Q40" i="1"/>
  <c r="S40" i="1" s="1"/>
  <c r="U40" i="1" s="1"/>
  <c r="W40" i="1" s="1"/>
  <c r="Q39" i="1"/>
  <c r="S39" i="1" s="1"/>
  <c r="U39" i="1" s="1"/>
  <c r="W39" i="1" s="1"/>
  <c r="Q37" i="1"/>
  <c r="S37" i="1" s="1"/>
  <c r="U37" i="1" s="1"/>
  <c r="W37" i="1" s="1"/>
  <c r="Q38" i="1"/>
  <c r="S38" i="1" s="1"/>
  <c r="U38" i="1" s="1"/>
  <c r="W38" i="1" s="1"/>
  <c r="G38" i="11" l="1"/>
  <c r="G36" i="11"/>
  <c r="G39" i="11"/>
  <c r="G37" i="11"/>
  <c r="G33" i="11"/>
  <c r="H32" i="11" s="1"/>
  <c r="F12" i="10"/>
  <c r="G11" i="10" s="1"/>
  <c r="G31" i="11" l="1"/>
  <c r="G16" i="10"/>
  <c r="G17" i="10"/>
  <c r="G15" i="10"/>
  <c r="G18" i="10"/>
  <c r="E10" i="10"/>
  <c r="H36" i="11" l="1"/>
  <c r="H39" i="11"/>
  <c r="H37" i="11"/>
  <c r="H38" i="11"/>
  <c r="H33" i="11"/>
  <c r="I32" i="11" s="1"/>
  <c r="G12" i="10"/>
  <c r="H11" i="10" s="1"/>
  <c r="D44" i="11" l="1"/>
  <c r="E44" i="11"/>
  <c r="E43" i="11"/>
  <c r="D43" i="11"/>
  <c r="E45" i="11"/>
  <c r="D45" i="11"/>
  <c r="H31" i="11"/>
  <c r="E42" i="11"/>
  <c r="D42" i="11"/>
  <c r="H15" i="10"/>
  <c r="E21" i="10" s="1"/>
  <c r="H16" i="10"/>
  <c r="H17" i="10"/>
  <c r="H18" i="10"/>
  <c r="F10" i="10"/>
  <c r="I37" i="11" l="1"/>
  <c r="I39" i="11"/>
  <c r="I38" i="11"/>
  <c r="I36" i="11"/>
  <c r="I33" i="11"/>
  <c r="J32" i="11" s="1"/>
  <c r="G43" i="11"/>
  <c r="F43" i="11"/>
  <c r="H43" i="11"/>
  <c r="F42" i="11"/>
  <c r="H42" i="11"/>
  <c r="G42" i="11"/>
  <c r="H44" i="11"/>
  <c r="G44" i="11"/>
  <c r="F44" i="11"/>
  <c r="H45" i="11"/>
  <c r="G45" i="11"/>
  <c r="F45" i="11"/>
  <c r="D21" i="10"/>
  <c r="F21" i="10"/>
  <c r="H21" i="10"/>
  <c r="G21" i="10"/>
  <c r="H12" i="10"/>
  <c r="E25" i="10" l="1"/>
  <c r="F25" i="10" s="1"/>
  <c r="I11" i="10"/>
  <c r="I12" i="10" s="1"/>
  <c r="J11" i="10" s="1"/>
  <c r="I31" i="11"/>
  <c r="G25" i="10"/>
  <c r="H25" i="10" s="1"/>
  <c r="G10" i="10"/>
  <c r="J39" i="11" l="1"/>
  <c r="J38" i="11"/>
  <c r="J37" i="11"/>
  <c r="J36" i="11"/>
  <c r="J33" i="11"/>
  <c r="K32" i="11" s="1"/>
  <c r="J16" i="10"/>
  <c r="J15" i="10"/>
  <c r="J17" i="10"/>
  <c r="J18" i="10"/>
  <c r="I15" i="10"/>
  <c r="I17" i="10"/>
  <c r="I16" i="10"/>
  <c r="I18" i="10"/>
  <c r="H10" i="10"/>
  <c r="J12" i="10"/>
  <c r="K11" i="10" s="1"/>
  <c r="J31" i="11" l="1"/>
  <c r="K17" i="10"/>
  <c r="K16" i="10"/>
  <c r="K15" i="10"/>
  <c r="K18" i="10"/>
  <c r="D24" i="10"/>
  <c r="E24" i="10"/>
  <c r="D23" i="10"/>
  <c r="E23" i="10"/>
  <c r="I10" i="10"/>
  <c r="K12" i="10"/>
  <c r="L11" i="10" s="1"/>
  <c r="E22" i="10"/>
  <c r="D22" i="10"/>
  <c r="K38" i="11" l="1"/>
  <c r="K36" i="11"/>
  <c r="K39" i="11"/>
  <c r="K37" i="11"/>
  <c r="K33" i="11"/>
  <c r="L32" i="11" s="1"/>
  <c r="L17" i="10"/>
  <c r="L16" i="10"/>
  <c r="L18" i="10"/>
  <c r="L15" i="10"/>
  <c r="H23" i="10"/>
  <c r="G23" i="10"/>
  <c r="F23" i="10"/>
  <c r="H22" i="10"/>
  <c r="G22" i="10"/>
  <c r="F22" i="10"/>
  <c r="G24" i="10"/>
  <c r="F24" i="10"/>
  <c r="H24" i="10"/>
  <c r="J10" i="10"/>
  <c r="K31" i="11" l="1"/>
  <c r="L12" i="10"/>
  <c r="M11" i="10" s="1"/>
  <c r="L39" i="11" l="1"/>
  <c r="L38" i="11"/>
  <c r="L37" i="11"/>
  <c r="L36" i="11"/>
  <c r="L33" i="11"/>
  <c r="M32" i="11" s="1"/>
  <c r="M15" i="10"/>
  <c r="M17" i="10"/>
  <c r="O23" i="10" s="1"/>
  <c r="M16" i="10"/>
  <c r="O22" i="10" s="1"/>
  <c r="M18" i="10"/>
  <c r="K10" i="10"/>
  <c r="L31" i="11" l="1"/>
  <c r="O21" i="10"/>
  <c r="I21" i="10"/>
  <c r="M12" i="10"/>
  <c r="M37" i="11" l="1"/>
  <c r="M38" i="11"/>
  <c r="M36" i="11"/>
  <c r="M39" i="11"/>
  <c r="M33" i="11"/>
  <c r="M31" i="11" s="1"/>
  <c r="C33" i="10"/>
  <c r="J25" i="10"/>
  <c r="K25" i="10" s="1"/>
  <c r="L25" i="10" s="1"/>
  <c r="M25" i="10" s="1"/>
  <c r="L10" i="10"/>
  <c r="C31" i="10" l="1"/>
  <c r="D32" i="10"/>
  <c r="D36" i="10" s="1"/>
  <c r="I45" i="11"/>
  <c r="J45" i="11"/>
  <c r="K45" i="11" s="1"/>
  <c r="L45" i="11" s="1"/>
  <c r="M45" i="11" s="1"/>
  <c r="O42" i="11"/>
  <c r="J42" i="11"/>
  <c r="K42" i="11" s="1"/>
  <c r="L42" i="11" s="1"/>
  <c r="M42" i="11" s="1"/>
  <c r="I42" i="11"/>
  <c r="O44" i="11"/>
  <c r="J44" i="11"/>
  <c r="K44" i="11" s="1"/>
  <c r="L44" i="11" s="1"/>
  <c r="M44" i="11" s="1"/>
  <c r="I44" i="11"/>
  <c r="O43" i="11"/>
  <c r="J43" i="11"/>
  <c r="K43" i="11" s="1"/>
  <c r="L43" i="11" s="1"/>
  <c r="M43" i="11" s="1"/>
  <c r="I43" i="11"/>
  <c r="D33" i="10"/>
  <c r="E32" i="10" s="1"/>
  <c r="D37" i="10"/>
  <c r="D38" i="10"/>
  <c r="M10" i="10"/>
  <c r="D39" i="10" l="1"/>
  <c r="D31" i="10"/>
  <c r="J23" i="10"/>
  <c r="K23" i="10" s="1"/>
  <c r="L23" i="10" s="1"/>
  <c r="M23" i="10" s="1"/>
  <c r="I23" i="10"/>
  <c r="J21" i="10"/>
  <c r="K21" i="10" s="1"/>
  <c r="L21" i="10" s="1"/>
  <c r="M21" i="10" s="1"/>
  <c r="I22" i="10"/>
  <c r="J22" i="10"/>
  <c r="K22" i="10" s="1"/>
  <c r="L22" i="10" s="1"/>
  <c r="M22" i="10" s="1"/>
  <c r="J24" i="10"/>
  <c r="I24" i="10"/>
  <c r="K24" i="10" l="1"/>
  <c r="L24" i="10" s="1"/>
  <c r="M24" i="10" s="1"/>
  <c r="E33" i="10"/>
  <c r="F32" i="10" s="1"/>
  <c r="E39" i="10"/>
  <c r="E36" i="10"/>
  <c r="E37" i="10"/>
  <c r="E38" i="10"/>
  <c r="E31" i="10" l="1"/>
  <c r="F33" i="10" l="1"/>
  <c r="G32" i="10" s="1"/>
  <c r="F38" i="10"/>
  <c r="F39" i="10"/>
  <c r="F36" i="10"/>
  <c r="F37" i="10"/>
  <c r="G33" i="10" l="1"/>
  <c r="H32" i="10" s="1"/>
  <c r="F31" i="10"/>
  <c r="H33" i="10" l="1"/>
  <c r="I32" i="10" s="1"/>
  <c r="G31" i="10"/>
  <c r="G37" i="10"/>
  <c r="G38" i="10"/>
  <c r="G39" i="10"/>
  <c r="G36" i="10"/>
  <c r="H31" i="10" l="1"/>
  <c r="H36" i="10"/>
  <c r="D42" i="10" s="1"/>
  <c r="H37" i="10"/>
  <c r="D43" i="10" s="1"/>
  <c r="H38" i="10"/>
  <c r="D44" i="10" s="1"/>
  <c r="H39" i="10"/>
  <c r="D45" i="10" s="1"/>
  <c r="E42" i="10" l="1"/>
  <c r="E43" i="10"/>
  <c r="E45" i="10"/>
  <c r="E44" i="10"/>
  <c r="I33" i="10"/>
  <c r="J32" i="10" s="1"/>
  <c r="I39" i="10"/>
  <c r="I36" i="10"/>
  <c r="I37" i="10"/>
  <c r="I38" i="10"/>
  <c r="H44" i="10" l="1"/>
  <c r="G44" i="10"/>
  <c r="F44" i="10"/>
  <c r="H42" i="10"/>
  <c r="G42" i="10"/>
  <c r="F42" i="10"/>
  <c r="I31" i="10"/>
  <c r="H45" i="10"/>
  <c r="F45" i="10"/>
  <c r="G45" i="10"/>
  <c r="F43" i="10"/>
  <c r="G43" i="10"/>
  <c r="H43" i="10"/>
  <c r="J33" i="10" l="1"/>
  <c r="K32" i="10" s="1"/>
  <c r="J38" i="10"/>
  <c r="J39" i="10"/>
  <c r="J36" i="10"/>
  <c r="J37" i="10"/>
  <c r="J31" i="10" l="1"/>
  <c r="K33" i="10" l="1"/>
  <c r="L32" i="10" s="1"/>
  <c r="K37" i="10"/>
  <c r="K38" i="10"/>
  <c r="K39" i="10"/>
  <c r="K36" i="10"/>
  <c r="L33" i="10" l="1"/>
  <c r="M32" i="10" s="1"/>
  <c r="K31" i="10"/>
  <c r="L31" i="10" l="1"/>
  <c r="L36" i="10"/>
  <c r="L37" i="10"/>
  <c r="L38" i="10"/>
  <c r="L39" i="10"/>
  <c r="M33" i="10" l="1"/>
  <c r="M31" i="10" s="1"/>
  <c r="M39" i="10"/>
  <c r="I45" i="10" s="1"/>
  <c r="M36" i="10"/>
  <c r="M37" i="10"/>
  <c r="I43" i="10" s="1"/>
  <c r="M38" i="10"/>
  <c r="O44" i="10" l="1"/>
  <c r="I44" i="10"/>
  <c r="J42" i="10"/>
  <c r="K42" i="10" s="1"/>
  <c r="L42" i="10" s="1"/>
  <c r="M42" i="10" s="1"/>
  <c r="I42" i="10"/>
  <c r="O42" i="10"/>
  <c r="J43" i="10"/>
  <c r="K43" i="10" s="1"/>
  <c r="L43" i="10" s="1"/>
  <c r="M43" i="10" s="1"/>
  <c r="J45" i="10"/>
  <c r="K45" i="10" s="1"/>
  <c r="L45" i="10" s="1"/>
  <c r="M45" i="10" s="1"/>
  <c r="J44" i="10"/>
  <c r="K44" i="10" s="1"/>
  <c r="L44" i="10" s="1"/>
  <c r="M44" i="10" s="1"/>
</calcChain>
</file>

<file path=xl/sharedStrings.xml><?xml version="1.0" encoding="utf-8"?>
<sst xmlns="http://schemas.openxmlformats.org/spreadsheetml/2006/main" count="1135" uniqueCount="67">
  <si>
    <t>Total Yield</t>
  </si>
  <si>
    <t>Stable Receiver</t>
  </si>
  <si>
    <t>Stable Provider</t>
  </si>
  <si>
    <t>Stable Provider BTC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</si>
  <si>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</si>
  <si>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</si>
  <si>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</si>
  <si>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</si>
  <si>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</si>
  <si>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</si>
  <si>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</si>
  <si>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</si>
  <si>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</si>
  <si>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</si>
  <si>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BTC</t>
  </si>
  <si>
    <t>USD ($M)</t>
  </si>
  <si>
    <t>2025 - 2030</t>
  </si>
  <si>
    <t>Bond Cumulative Yield</t>
  </si>
  <si>
    <t>10 BTC</t>
  </si>
  <si>
    <t>100 BTC</t>
  </si>
  <si>
    <t>1000 BTC</t>
  </si>
  <si>
    <t>10000 BTC</t>
  </si>
  <si>
    <t>Yield
Allocation</t>
  </si>
  <si>
    <t>2035 - 2040</t>
  </si>
  <si>
    <t>Stable Receiver USD</t>
  </si>
  <si>
    <t>@KyleHutch_</t>
  </si>
  <si>
    <t>Percentage (%)</t>
  </si>
  <si>
    <t>2025 - 2035</t>
  </si>
  <si>
    <t>2035 - 2045</t>
  </si>
  <si>
    <t>Stability Asset</t>
  </si>
  <si>
    <t>BTC CAGR 25%</t>
  </si>
  <si>
    <t>BTC CAGR 30%</t>
  </si>
  <si>
    <t>2025 5Y</t>
  </si>
  <si>
    <t>2025 10Y</t>
  </si>
  <si>
    <t>BTC CAGR 35%</t>
  </si>
  <si>
    <t>BTC CAGR 40%</t>
  </si>
  <si>
    <t>BTC CAGR 20%</t>
  </si>
  <si>
    <t>2035 5Y</t>
  </si>
  <si>
    <t>2035 10Y</t>
  </si>
  <si>
    <t xml:space="preserve">2025 - 2035 </t>
  </si>
  <si>
    <t>Bond Average Annual Yield</t>
  </si>
  <si>
    <t>AVG Annual Yield Percentage (%)</t>
  </si>
  <si>
    <t>2030 - 2035 Remaining 10Y</t>
  </si>
  <si>
    <t>2040 - 2045 Remaining 10Y</t>
  </si>
  <si>
    <t>BTC CAGR 15%</t>
  </si>
  <si>
    <t>Bitcoin Total Value Locked (BTC TVL)</t>
  </si>
  <si>
    <t>Bond Average Annual Yield Value</t>
  </si>
  <si>
    <t>Liquidity Service Provider (BTC)</t>
  </si>
  <si>
    <t>Stable Receiver (USD)</t>
  </si>
  <si>
    <t>Stable Provider (BTC)</t>
  </si>
  <si>
    <r>
      <rPr>
        <b/>
        <sz val="16"/>
        <rFont val="Aptos Narrow"/>
        <family val="2"/>
        <scheme val="minor"/>
      </rPr>
      <t xml:space="preserve">* </t>
    </r>
    <r>
      <rPr>
        <b/>
        <sz val="16"/>
        <color rgb="FFFFC000"/>
        <rFont val="Aptos Narrow"/>
        <family val="2"/>
        <scheme val="minor"/>
      </rPr>
      <t>BTC</t>
    </r>
    <r>
      <rPr>
        <b/>
        <sz val="16"/>
        <color theme="1"/>
        <rFont val="Aptos Narrow"/>
        <family val="2"/>
        <scheme val="minor"/>
      </rPr>
      <t xml:space="preserve"> or </t>
    </r>
    <r>
      <rPr>
        <b/>
        <sz val="16"/>
        <color theme="9" tint="-0.249977111117893"/>
        <rFont val="Aptos Narrow"/>
        <family val="2"/>
        <scheme val="minor"/>
      </rPr>
      <t>USD</t>
    </r>
    <r>
      <rPr>
        <b/>
        <sz val="16"/>
        <color theme="1"/>
        <rFont val="Aptos Narrow"/>
        <family val="2"/>
        <scheme val="minor"/>
      </rPr>
      <t xml:space="preserve"> Denominated Returns</t>
    </r>
  </si>
  <si>
    <t>2025 Bitcoin Starting USD Value</t>
  </si>
  <si>
    <t>2035 Bitcoin Starting USD Value</t>
  </si>
  <si>
    <t>2025-08-24
X: @KyleHutch_</t>
  </si>
  <si>
    <t>Lightning Bank Case Study Summary
Liquidity Pairing BTC Bonds with BTC 2X Leverage Longs</t>
  </si>
  <si>
    <t>Lightning Bank Case Study Breakdown
Liquidity Pairing BTC Bonds with BTC 2X Leverage Longs</t>
  </si>
  <si>
    <t>Liquidity Service Provider</t>
  </si>
  <si>
    <t>Bond Average Annual Yield Percentage</t>
  </si>
  <si>
    <t>USD</t>
  </si>
  <si>
    <t>LQWD USD Marketcap</t>
  </si>
  <si>
    <t>LQWD USD Value</t>
  </si>
  <si>
    <t>LQWD 10Y CAGR</t>
  </si>
  <si>
    <t>LQWD Share Issuance Rate and Amount</t>
  </si>
  <si>
    <t>LQWD Diluted Shares Outstanding</t>
  </si>
  <si>
    <t>100K BTC</t>
  </si>
  <si>
    <t>10K BTC</t>
  </si>
  <si>
    <t>1K 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</si>
</sst>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##0.0,,,,&quot; T&quot;"/>
    <numFmt numFmtId="165" formatCode="&quot;$&quot;###0.0,,,&quot; B&quot;"/>
    <numFmt numFmtId="166" formatCode="&quot;$&quot;###0.00,,&quot; M&quot;"/>
    <numFmt numFmtId="167" formatCode="###0.00,,&quot; M&quot;"/>
    <numFmt numFmtId="168" formatCode="###0.00,,&quot;&quot;"/>
    <numFmt numFmtId="169" formatCode="###0,&quot; K&quot;"/>
    <numFmt numFmtId="170" formatCode="###0,,&quot; M&quot;"/>
    <numFmt numFmtId="171" formatCode="&quot;$&quot;#,##0.00"/>
    <numFmt numFmtId="172" formatCode="&quot;$&quot;###0.00,,,&quot; B&quot;"/>
    <numFmt numFmtId="173" formatCode="###0.00,,,&quot; B&quot;"/>
  </numFmts>
  <fonts count="1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color rgb="FFFFC000"/>
      <name val="Aptos Narrow"/>
      <family val="2"/>
      <scheme val="minor"/>
    </font>
    <font>
      <b/>
      <sz val="16"/>
      <color theme="9" tint="-0.249977111117893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theme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7" fillId="3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166" fontId="1" fillId="0" borderId="7" xfId="0" applyNumberFormat="1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167" fontId="1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9" fontId="1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center" vertical="center"/>
    </xf>
    <xf numFmtId="9" fontId="8" fillId="7" borderId="7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5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169" fontId="4" fillId="6" borderId="11" xfId="0" applyNumberFormat="1" applyFont="1" applyFill="1" applyBorder="1" applyAlignment="1">
      <alignment horizontal="center" vertical="center"/>
    </xf>
    <xf numFmtId="165" fontId="1" fillId="4" borderId="11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 wrapText="1"/>
    </xf>
    <xf numFmtId="9" fontId="8" fillId="7" borderId="8" xfId="0" applyNumberFormat="1" applyFont="1" applyFill="1" applyBorder="1" applyAlignment="1">
      <alignment horizontal="center" vertical="center"/>
    </xf>
    <xf numFmtId="169" fontId="4" fillId="7" borderId="12" xfId="0" applyNumberFormat="1" applyFont="1" applyFill="1" applyBorder="1" applyAlignment="1">
      <alignment horizontal="center" vertical="center"/>
    </xf>
    <xf numFmtId="0" fontId="9" fillId="7" borderId="2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9" fillId="7" borderId="8" xfId="0" applyFont="1" applyFill="1" applyBorder="1" applyAlignment="1">
      <alignment vertical="center"/>
    </xf>
    <xf numFmtId="0" fontId="4" fillId="7" borderId="13" xfId="0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9" fontId="8" fillId="7" borderId="11" xfId="0" applyNumberFormat="1" applyFont="1" applyFill="1" applyBorder="1" applyAlignment="1">
      <alignment horizontal="center" vertical="center"/>
    </xf>
    <xf numFmtId="170" fontId="4" fillId="6" borderId="11" xfId="0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7" borderId="5" xfId="0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165" fontId="1" fillId="7" borderId="23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0" fillId="7" borderId="6" xfId="0" applyFill="1" applyBorder="1" applyAlignment="1">
      <alignment vertical="center"/>
    </xf>
    <xf numFmtId="0" fontId="0" fillId="7" borderId="6" xfId="0" applyFill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7" borderId="24" xfId="0" applyFont="1" applyFill="1" applyBorder="1" applyAlignment="1">
      <alignment vertical="center"/>
    </xf>
    <xf numFmtId="0" fontId="13" fillId="0" borderId="25" xfId="0" applyFont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vertical="center"/>
    </xf>
    <xf numFmtId="0" fontId="13" fillId="0" borderId="27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7" borderId="5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166" fontId="4" fillId="6" borderId="11" xfId="0" applyNumberFormat="1" applyFont="1" applyFill="1" applyBorder="1" applyAlignment="1">
      <alignment horizontal="center" vertical="center" wrapText="1"/>
    </xf>
    <xf numFmtId="14" fontId="14" fillId="0" borderId="5" xfId="0" applyNumberFormat="1" applyFont="1" applyBorder="1" applyAlignment="1">
      <alignment horizontal="left" vertical="center" wrapText="1"/>
    </xf>
    <xf numFmtId="0" fontId="8" fillId="5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168" fontId="1" fillId="4" borderId="7" xfId="0" applyNumberFormat="1" applyFont="1" applyFill="1" applyBorder="1" applyAlignment="1">
      <alignment horizontal="center" vertical="center"/>
    </xf>
    <xf numFmtId="171" fontId="1" fillId="0" borderId="7" xfId="0" applyNumberFormat="1" applyFont="1" applyBorder="1" applyAlignment="1">
      <alignment horizontal="center" vertical="center"/>
    </xf>
    <xf numFmtId="172" fontId="1" fillId="0" borderId="7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2" borderId="7" xfId="0" applyFont="1" applyFill="1" applyBorder="1" applyAlignment="1">
      <alignment vertical="center" wrapText="1"/>
    </xf>
    <xf numFmtId="0" fontId="8" fillId="1" borderId="7" xfId="0" applyFont="1" applyFill="1" applyBorder="1" applyAlignment="1">
      <alignment horizontal="center" vertical="center"/>
    </xf>
    <xf numFmtId="167" fontId="1" fillId="1" borderId="7" xfId="0" applyNumberFormat="1" applyFont="1" applyFill="1" applyBorder="1" applyAlignment="1">
      <alignment horizontal="center" vertical="center"/>
    </xf>
    <xf numFmtId="173" fontId="1" fillId="0" borderId="7" xfId="0" applyNumberFormat="1" applyFont="1" applyBorder="1" applyAlignment="1">
      <alignment horizontal="center" vertical="center"/>
    </xf>
    <xf numFmtId="166" fontId="15" fillId="6" borderId="7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left" vertical="center" wrapText="1" indent="1"/>
    </xf>
    <xf numFmtId="0" fontId="5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16" fillId="6" borderId="7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left" vertical="center"/>
    </xf>
    <xf numFmtId="0" fontId="4" fillId="6" borderId="17" xfId="0" applyFont="1" applyFill="1" applyBorder="1" applyAlignment="1">
      <alignment horizontal="left" vertical="center"/>
    </xf>
    <xf numFmtId="0" fontId="4" fillId="6" borderId="20" xfId="0" applyFont="1" applyFill="1" applyBorder="1" applyAlignment="1">
      <alignment horizontal="left" vertical="center"/>
    </xf>
    <xf numFmtId="0" fontId="4" fillId="6" borderId="2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14289</xdr:colOff>
      <xdr:row>4</xdr:row>
      <xdr:rowOff>195263</xdr:rowOff>
    </xdr:from>
    <xdr:to>
      <xdr:col>4</xdr:col>
      <xdr:colOff>76208</xdr:colOff>
      <xdr:row>6</xdr:row>
      <xdr:rowOff>309568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C92A05-867A-4E45-85A1-EB441073A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3739" y="914401"/>
          <a:ext cx="895357" cy="71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42862</xdr:colOff>
      <xdr:row>10</xdr:row>
      <xdr:rowOff>0</xdr:rowOff>
    </xdr:from>
    <xdr:to>
      <xdr:col>24</xdr:col>
      <xdr:colOff>938219</xdr:colOff>
      <xdr:row>13</xdr:row>
      <xdr:rowOff>114305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D6A2A2-AE61-4519-9315-E1A58983B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287" y="2000250"/>
          <a:ext cx="895357" cy="714380"/>
        </a:xfrm>
        <a:prstGeom prst="rect">
          <a:avLst/>
        </a:prstGeom>
      </xdr:spPr>
    </xdr:pic>
    <xdr:clientData/>
  </xdr:twoCellAnchor>
  <xdr:twoCellAnchor editAs="oneCell">
    <xdr:from>
      <xdr:col>24</xdr:col>
      <xdr:colOff>42862</xdr:colOff>
      <xdr:row>29</xdr:row>
      <xdr:rowOff>9525</xdr:rowOff>
    </xdr:from>
    <xdr:to>
      <xdr:col>24</xdr:col>
      <xdr:colOff>938219</xdr:colOff>
      <xdr:row>32</xdr:row>
      <xdr:rowOff>123830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ECF4EE-40C5-428D-8C7B-137D7DB30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287" y="5810250"/>
          <a:ext cx="895357" cy="7143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42862</xdr:colOff>
      <xdr:row>10</xdr:row>
      <xdr:rowOff>0</xdr:rowOff>
    </xdr:from>
    <xdr:to>
      <xdr:col>24</xdr:col>
      <xdr:colOff>938219</xdr:colOff>
      <xdr:row>13</xdr:row>
      <xdr:rowOff>114305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49AE53-F91F-8E6F-38F2-CE9A082B8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287" y="2000250"/>
          <a:ext cx="895357" cy="714380"/>
        </a:xfrm>
        <a:prstGeom prst="rect">
          <a:avLst/>
        </a:prstGeom>
      </xdr:spPr>
    </xdr:pic>
    <xdr:clientData/>
  </xdr:twoCellAnchor>
  <xdr:twoCellAnchor editAs="oneCell">
    <xdr:from>
      <xdr:col>24</xdr:col>
      <xdr:colOff>42862</xdr:colOff>
      <xdr:row>29</xdr:row>
      <xdr:rowOff>9525</xdr:rowOff>
    </xdr:from>
    <xdr:to>
      <xdr:col>24</xdr:col>
      <xdr:colOff>938219</xdr:colOff>
      <xdr:row>32</xdr:row>
      <xdr:rowOff>123830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168FD1-70D3-B147-F906-EEFE6087B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287" y="5810250"/>
          <a:ext cx="895357" cy="7143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42862</xdr:colOff>
      <xdr:row>10</xdr:row>
      <xdr:rowOff>0</xdr:rowOff>
    </xdr:from>
    <xdr:to>
      <xdr:col>24</xdr:col>
      <xdr:colOff>938219</xdr:colOff>
      <xdr:row>13</xdr:row>
      <xdr:rowOff>114305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A655C7-E4E8-4D0A-9207-D23E97738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287" y="1919288"/>
          <a:ext cx="895357" cy="714380"/>
        </a:xfrm>
        <a:prstGeom prst="rect">
          <a:avLst/>
        </a:prstGeom>
      </xdr:spPr>
    </xdr:pic>
    <xdr:clientData/>
  </xdr:twoCellAnchor>
  <xdr:twoCellAnchor editAs="oneCell">
    <xdr:from>
      <xdr:col>24</xdr:col>
      <xdr:colOff>42862</xdr:colOff>
      <xdr:row>29</xdr:row>
      <xdr:rowOff>9525</xdr:rowOff>
    </xdr:from>
    <xdr:to>
      <xdr:col>24</xdr:col>
      <xdr:colOff>938219</xdr:colOff>
      <xdr:row>32</xdr:row>
      <xdr:rowOff>123830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45F199-0D0F-432B-AF1E-E98C04098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287" y="5729288"/>
          <a:ext cx="895357" cy="7143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42862</xdr:colOff>
      <xdr:row>10</xdr:row>
      <xdr:rowOff>0</xdr:rowOff>
    </xdr:from>
    <xdr:to>
      <xdr:col>24</xdr:col>
      <xdr:colOff>938219</xdr:colOff>
      <xdr:row>13</xdr:row>
      <xdr:rowOff>114305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D7DD27-9BDC-40A9-ADE5-7D6D37D4A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287" y="2000250"/>
          <a:ext cx="895357" cy="714380"/>
        </a:xfrm>
        <a:prstGeom prst="rect">
          <a:avLst/>
        </a:prstGeom>
      </xdr:spPr>
    </xdr:pic>
    <xdr:clientData/>
  </xdr:twoCellAnchor>
  <xdr:twoCellAnchor editAs="oneCell">
    <xdr:from>
      <xdr:col>24</xdr:col>
      <xdr:colOff>42862</xdr:colOff>
      <xdr:row>29</xdr:row>
      <xdr:rowOff>9525</xdr:rowOff>
    </xdr:from>
    <xdr:to>
      <xdr:col>24</xdr:col>
      <xdr:colOff>938219</xdr:colOff>
      <xdr:row>32</xdr:row>
      <xdr:rowOff>123830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63B03D-E41D-4B3A-B5DE-68F56C461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287" y="5810250"/>
          <a:ext cx="895357" cy="7143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42862</xdr:colOff>
      <xdr:row>10</xdr:row>
      <xdr:rowOff>0</xdr:rowOff>
    </xdr:from>
    <xdr:to>
      <xdr:col>24</xdr:col>
      <xdr:colOff>938219</xdr:colOff>
      <xdr:row>13</xdr:row>
      <xdr:rowOff>114305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BCDB0C-FCA5-4355-9A07-B3AD78E4E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287" y="2000250"/>
          <a:ext cx="895357" cy="714380"/>
        </a:xfrm>
        <a:prstGeom prst="rect">
          <a:avLst/>
        </a:prstGeom>
      </xdr:spPr>
    </xdr:pic>
    <xdr:clientData/>
  </xdr:twoCellAnchor>
  <xdr:twoCellAnchor editAs="oneCell">
    <xdr:from>
      <xdr:col>24</xdr:col>
      <xdr:colOff>42862</xdr:colOff>
      <xdr:row>29</xdr:row>
      <xdr:rowOff>9525</xdr:rowOff>
    </xdr:from>
    <xdr:to>
      <xdr:col>24</xdr:col>
      <xdr:colOff>938219</xdr:colOff>
      <xdr:row>32</xdr:row>
      <xdr:rowOff>123830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60D40C-69F2-47A7-ACD8-8C6097550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287" y="5810250"/>
          <a:ext cx="895357" cy="7143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42862</xdr:colOff>
      <xdr:row>13</xdr:row>
      <xdr:rowOff>0</xdr:rowOff>
    </xdr:from>
    <xdr:to>
      <xdr:col>14</xdr:col>
      <xdr:colOff>938219</xdr:colOff>
      <xdr:row>16</xdr:row>
      <xdr:rowOff>114305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A4F6FA-DF3A-4983-B472-16047A8D3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287" y="1919288"/>
          <a:ext cx="895357" cy="714380"/>
        </a:xfrm>
        <a:prstGeom prst="rect">
          <a:avLst/>
        </a:prstGeom>
      </xdr:spPr>
    </xdr:pic>
    <xdr:clientData/>
  </xdr:twoCellAnchor>
  <xdr:oneCellAnchor>
    <xdr:from>
      <xdr:col>14</xdr:col>
      <xdr:colOff>42862</xdr:colOff>
      <xdr:row>34</xdr:row>
      <xdr:rowOff>0</xdr:rowOff>
    </xdr:from>
    <xdr:ext cx="895357" cy="714380"/>
    <xdr:pic>
      <xdr:nvPicPr>
        <xdr:cNvPr id="4" name="Picture 3">
          <a:extLst>
            <a:ext uri="{FF2B5EF4-FFF2-40B4-BE49-F238E27FC236}">
              <a16:creationId xmlns:a16="http://schemas.microsoft.com/office/drawing/2014/main" id="{8E461664-0221-4449-A184-98E9DF721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97075" y="2738438"/>
          <a:ext cx="895357" cy="71438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42862</xdr:colOff>
      <xdr:row>13</xdr:row>
      <xdr:rowOff>0</xdr:rowOff>
    </xdr:from>
    <xdr:to>
      <xdr:col>14</xdr:col>
      <xdr:colOff>938219</xdr:colOff>
      <xdr:row>16</xdr:row>
      <xdr:rowOff>114305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883BF6-719A-42DF-B3FE-C4C197A53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49475" y="2500313"/>
          <a:ext cx="895357" cy="714380"/>
        </a:xfrm>
        <a:prstGeom prst="rect">
          <a:avLst/>
        </a:prstGeom>
      </xdr:spPr>
    </xdr:pic>
    <xdr:clientData/>
  </xdr:twoCellAnchor>
  <xdr:oneCellAnchor>
    <xdr:from>
      <xdr:col>14</xdr:col>
      <xdr:colOff>42862</xdr:colOff>
      <xdr:row>34</xdr:row>
      <xdr:rowOff>0</xdr:rowOff>
    </xdr:from>
    <xdr:ext cx="895357" cy="714380"/>
    <xdr:pic>
      <xdr:nvPicPr>
        <xdr:cNvPr id="3" name="Picture 2">
          <a:extLst>
            <a:ext uri="{FF2B5EF4-FFF2-40B4-BE49-F238E27FC236}">
              <a16:creationId xmlns:a16="http://schemas.microsoft.com/office/drawing/2014/main" id="{0BAC8339-0AE7-49ED-9A46-83FA9FA41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49475" y="6881813"/>
          <a:ext cx="895357" cy="71438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0A19-5F68-4D0D-97A2-00E38378C396}">
  <dimension ref="A1:AN34"/>
  <sheetViews>
    <sheetView zoomScaleNormal="100" workbookViewId="0">
      <selection activeCell="B2" sqref="B2:V4"/>
    </sheetView>
  </sheetViews>
  <sheetFormatPr defaultRowHeight="15.85" customHeight="1" x14ac:dyDescent="0.45"/>
  <cols>
    <col min="1" max="1" width="1.6640625" style="1" customWidth="1"/>
    <col min="2" max="2" width="45.6640625" style="1" customWidth="1"/>
    <col min="3" max="3" width="1.6640625" style="34" customWidth="1"/>
    <col min="4" max="4" width="10" style="25" customWidth="1"/>
    <col min="5" max="5" width="1.6640625" style="33" customWidth="1"/>
    <col min="6" max="13" width="11" style="1" customWidth="1"/>
    <col min="14" max="14" width="1.6640625" style="34" customWidth="1"/>
    <col min="15" max="22" width="11" style="1" customWidth="1"/>
    <col min="23" max="23" width="1.6640625" style="1" customWidth="1"/>
    <col min="24" max="24" width="10.86328125" style="1" customWidth="1"/>
    <col min="25" max="25" width="9.6640625" style="1" customWidth="1"/>
    <col min="26" max="26" width="11.1328125" style="1" customWidth="1"/>
    <col min="27" max="27" width="1.6640625" style="1" customWidth="1"/>
    <col min="28" max="28" width="14" style="1" customWidth="1"/>
    <col min="29" max="29" width="1.53125" style="1" customWidth="1"/>
    <col min="30" max="16384" width="9.06640625" style="1"/>
  </cols>
  <sheetData>
    <row r="1" spans="1:40" ht="9.4" customHeight="1" thickBot="1" x14ac:dyDescent="0.5">
      <c r="B1" s="9"/>
      <c r="C1" s="47"/>
      <c r="D1" s="24"/>
      <c r="E1" s="48"/>
      <c r="F1" s="10"/>
      <c r="G1" s="10"/>
      <c r="H1" s="10"/>
      <c r="I1" s="10"/>
      <c r="J1" s="10"/>
      <c r="K1" s="10"/>
      <c r="L1" s="10"/>
      <c r="M1" s="10"/>
      <c r="N1" s="47"/>
      <c r="O1" s="10"/>
      <c r="P1" s="10"/>
      <c r="Q1" s="10"/>
      <c r="R1" s="10"/>
      <c r="S1" s="10"/>
      <c r="T1" s="10"/>
      <c r="U1" s="10"/>
      <c r="V1" s="10"/>
      <c r="W1" s="10"/>
      <c r="X1" s="10"/>
      <c r="Y1" s="9"/>
      <c r="Z1" s="9"/>
    </row>
    <row r="2" spans="1:40" ht="15.85" customHeight="1" thickTop="1" x14ac:dyDescent="0.45">
      <c r="A2" s="4"/>
      <c r="B2" s="90" t="s">
        <v>54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12"/>
      <c r="X2" s="13"/>
    </row>
    <row r="3" spans="1:40" ht="15.85" customHeight="1" x14ac:dyDescent="0.45">
      <c r="A3" s="4"/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12"/>
      <c r="X3" s="15"/>
    </row>
    <row r="4" spans="1:40" ht="15.85" customHeight="1" thickBot="1" x14ac:dyDescent="0.5">
      <c r="A4" s="4"/>
      <c r="B4" s="96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8"/>
      <c r="W4" s="12"/>
      <c r="X4" s="15"/>
    </row>
    <row r="5" spans="1:40" ht="15.85" customHeight="1" thickTop="1" thickBot="1" x14ac:dyDescent="0.5">
      <c r="A5" s="4"/>
      <c r="B5" s="20"/>
      <c r="C5" s="49"/>
      <c r="D5" s="27"/>
      <c r="E5" s="50"/>
      <c r="F5" s="10"/>
      <c r="G5" s="56"/>
      <c r="H5" s="35"/>
      <c r="I5" s="57"/>
      <c r="J5" s="10"/>
      <c r="K5" s="56"/>
      <c r="L5" s="35"/>
      <c r="M5" s="57"/>
      <c r="N5" s="49"/>
      <c r="O5" s="10"/>
      <c r="P5" s="56"/>
      <c r="Q5" s="35"/>
      <c r="R5" s="57"/>
      <c r="S5" s="10"/>
      <c r="T5" s="56"/>
      <c r="U5" s="35"/>
      <c r="V5" s="10"/>
      <c r="W5" s="49"/>
      <c r="X5" s="27"/>
      <c r="Y5" s="20"/>
      <c r="Z5" s="49"/>
      <c r="AA5" s="27"/>
      <c r="AB5" s="50"/>
    </row>
    <row r="6" spans="1:40" s="66" customFormat="1" ht="31.5" customHeight="1" thickTop="1" thickBot="1" x14ac:dyDescent="0.5">
      <c r="A6" s="58"/>
      <c r="B6" s="68" t="s">
        <v>53</v>
      </c>
      <c r="C6" s="59"/>
      <c r="D6" s="60"/>
      <c r="E6" s="61"/>
      <c r="F6" s="67">
        <v>100000</v>
      </c>
      <c r="G6" s="100" t="s">
        <v>51</v>
      </c>
      <c r="H6" s="100"/>
      <c r="I6" s="100"/>
      <c r="J6" s="100"/>
      <c r="K6" s="100"/>
      <c r="L6" s="100"/>
      <c r="M6" s="100"/>
      <c r="N6" s="62"/>
      <c r="O6" s="67">
        <v>1300000</v>
      </c>
      <c r="P6" s="100" t="s">
        <v>52</v>
      </c>
      <c r="Q6" s="100"/>
      <c r="R6" s="100"/>
      <c r="S6" s="100"/>
      <c r="T6" s="100"/>
      <c r="U6" s="100"/>
      <c r="V6" s="100"/>
      <c r="W6" s="63"/>
      <c r="X6" s="64"/>
      <c r="Y6" s="64"/>
      <c r="Z6" s="64"/>
      <c r="AA6" s="64"/>
      <c r="AB6" s="64"/>
      <c r="AC6" s="64"/>
      <c r="AD6" s="64"/>
      <c r="AE6" s="64"/>
      <c r="AF6" s="65"/>
      <c r="AG6" s="64"/>
      <c r="AH6" s="64"/>
      <c r="AI6" s="64"/>
      <c r="AJ6" s="64"/>
      <c r="AK6" s="64"/>
      <c r="AL6" s="64"/>
      <c r="AM6" s="64"/>
      <c r="AN6" s="64"/>
    </row>
    <row r="7" spans="1:40" ht="31.5" customHeight="1" thickTop="1" thickBot="1" x14ac:dyDescent="0.5">
      <c r="B7" s="55" t="s">
        <v>50</v>
      </c>
      <c r="C7" s="40"/>
      <c r="D7" s="44"/>
      <c r="E7" s="36"/>
      <c r="F7" s="99" t="s">
        <v>39</v>
      </c>
      <c r="G7" s="99"/>
      <c r="H7" s="99"/>
      <c r="I7" s="99"/>
      <c r="J7" s="99"/>
      <c r="K7" s="99"/>
      <c r="L7" s="99"/>
      <c r="M7" s="99"/>
      <c r="N7" s="51"/>
      <c r="O7" s="99" t="s">
        <v>28</v>
      </c>
      <c r="P7" s="99"/>
      <c r="Q7" s="99"/>
      <c r="R7" s="99"/>
      <c r="S7" s="99"/>
      <c r="T7" s="99"/>
      <c r="U7" s="99"/>
      <c r="V7" s="99"/>
      <c r="W7" s="2"/>
    </row>
    <row r="8" spans="1:40" ht="15.85" customHeight="1" thickTop="1" thickBot="1" x14ac:dyDescent="0.5">
      <c r="B8" s="86" t="s">
        <v>57</v>
      </c>
      <c r="C8" s="43"/>
      <c r="D8" s="88" t="s">
        <v>22</v>
      </c>
      <c r="E8" s="37"/>
      <c r="F8" s="89" t="s">
        <v>30</v>
      </c>
      <c r="G8" s="89"/>
      <c r="H8" s="89" t="s">
        <v>31</v>
      </c>
      <c r="I8" s="89"/>
      <c r="J8" s="89" t="s">
        <v>34</v>
      </c>
      <c r="K8" s="89"/>
      <c r="L8" s="89" t="s">
        <v>35</v>
      </c>
      <c r="M8" s="89"/>
      <c r="N8" s="52"/>
      <c r="O8" s="89" t="s">
        <v>44</v>
      </c>
      <c r="P8" s="89"/>
      <c r="Q8" s="89" t="s">
        <v>36</v>
      </c>
      <c r="R8" s="89"/>
      <c r="S8" s="89" t="s">
        <v>30</v>
      </c>
      <c r="T8" s="89"/>
      <c r="U8" s="89" t="s">
        <v>31</v>
      </c>
      <c r="V8" s="89"/>
      <c r="W8" s="2"/>
    </row>
    <row r="9" spans="1:40" ht="15.85" customHeight="1" thickTop="1" thickBot="1" x14ac:dyDescent="0.5">
      <c r="B9" s="87"/>
      <c r="C9" s="43"/>
      <c r="D9" s="88"/>
      <c r="E9" s="37"/>
      <c r="F9" s="26" t="s">
        <v>32</v>
      </c>
      <c r="G9" s="26" t="s">
        <v>33</v>
      </c>
      <c r="H9" s="26" t="s">
        <v>32</v>
      </c>
      <c r="I9" s="26" t="s">
        <v>33</v>
      </c>
      <c r="J9" s="26" t="s">
        <v>32</v>
      </c>
      <c r="K9" s="26" t="s">
        <v>33</v>
      </c>
      <c r="L9" s="26" t="s">
        <v>32</v>
      </c>
      <c r="M9" s="26" t="s">
        <v>33</v>
      </c>
      <c r="N9" s="52"/>
      <c r="O9" s="26" t="s">
        <v>37</v>
      </c>
      <c r="P9" s="26" t="s">
        <v>38</v>
      </c>
      <c r="Q9" s="26" t="s">
        <v>37</v>
      </c>
      <c r="R9" s="26" t="s">
        <v>38</v>
      </c>
      <c r="S9" s="26" t="s">
        <v>37</v>
      </c>
      <c r="T9" s="26" t="s">
        <v>38</v>
      </c>
      <c r="U9" s="26" t="s">
        <v>37</v>
      </c>
      <c r="V9" s="26" t="s">
        <v>38</v>
      </c>
      <c r="W9" s="2"/>
    </row>
    <row r="10" spans="1:40" ht="15.85" customHeight="1" thickTop="1" thickBot="1" x14ac:dyDescent="0.5">
      <c r="B10" s="6" t="s">
        <v>47</v>
      </c>
      <c r="C10" s="41"/>
      <c r="D10" s="45">
        <v>0.2</v>
      </c>
      <c r="E10" s="38"/>
      <c r="F10" s="28" t="str">
        <f>'BTC CAGR 25% 15%'!$D$19</f>
        <v>2.68%</v>
      </c>
      <c r="G10" s="28" t="str">
        <f>'BTC CAGR 25% 15%'!$Y$19</f>
        <v>1.79%</v>
      </c>
      <c r="H10" s="28" t="str">
        <f>'BTC CAGR 30% 20%'!$D$19</f>
        <v>2.92%</v>
      </c>
      <c r="I10" s="28" t="str">
        <f>'BTC CAGR 30% 20%'!$Y$19</f>
        <v>1.85%</v>
      </c>
      <c r="J10" s="28" t="str">
        <f>'BTC CAGR 35% 25%'!$D$19</f>
        <v>3.10%</v>
      </c>
      <c r="K10" s="28" t="str">
        <f>'BTC CAGR 35% 25%'!$Y$19</f>
        <v>1.90%</v>
      </c>
      <c r="L10" s="28" t="str">
        <f>'BTC CAGR 40% 30%'!$D$19</f>
        <v>3.26%</v>
      </c>
      <c r="M10" s="28" t="str">
        <f>'BTC CAGR 40% 30%'!$Y$19</f>
        <v>1.93%</v>
      </c>
      <c r="N10" s="53"/>
      <c r="O10" s="28" t="str">
        <f>'BTC CAGR 25% 15%'!D37</f>
        <v>2.02%</v>
      </c>
      <c r="P10" s="28" t="str">
        <f>'BTC CAGR 25% 15%'!Y37</f>
        <v>1.51%</v>
      </c>
      <c r="Q10" s="28" t="str">
        <f>'BTC CAGR 30% 20%'!D37</f>
        <v>2.40%</v>
      </c>
      <c r="R10" s="28" t="str">
        <f>'BTC CAGR 30% 20%'!Y37</f>
        <v>1.68%</v>
      </c>
      <c r="S10" s="28" t="str">
        <f>'BTC CAGR 35% 25%'!D37</f>
        <v>2.68%</v>
      </c>
      <c r="T10" s="28" t="str">
        <f>'BTC CAGR 35% 25%'!Y37</f>
        <v>1.79%</v>
      </c>
      <c r="U10" s="28" t="str">
        <f>'BTC CAGR 40% 30%'!D37</f>
        <v>2.92%</v>
      </c>
      <c r="V10" s="28" t="str">
        <f>'BTC CAGR 40% 30%'!Y37</f>
        <v>1.85%</v>
      </c>
      <c r="W10" s="2"/>
    </row>
    <row r="11" spans="1:40" ht="15.85" customHeight="1" thickTop="1" thickBot="1" x14ac:dyDescent="0.5">
      <c r="B11" s="6" t="s">
        <v>48</v>
      </c>
      <c r="C11" s="41"/>
      <c r="D11" s="45">
        <v>0.3</v>
      </c>
      <c r="E11" s="38"/>
      <c r="F11" s="29" t="str">
        <f>'BTC CAGR 25% 15%'!$E$20</f>
        <v>12.33%</v>
      </c>
      <c r="G11" s="29" t="str">
        <f>'BTC CAGR 25% 15%'!$Y$20</f>
        <v>24.96%</v>
      </c>
      <c r="H11" s="29" t="str">
        <f>'BTC CAGR 30% 20%'!$E$20</f>
        <v>16.26%</v>
      </c>
      <c r="I11" s="29" t="str">
        <f>'BTC CAGR 30% 20%'!$Y$20</f>
        <v>38.32%</v>
      </c>
      <c r="J11" s="29" t="str">
        <f>'BTC CAGR 35% 25%'!$E$20</f>
        <v>20.90%</v>
      </c>
      <c r="K11" s="29" t="str">
        <f>'BTC CAGR 35% 25%'!$Y$20</f>
        <v>57.30%</v>
      </c>
      <c r="L11" s="29" t="str">
        <f>'BTC CAGR 40% 30%'!$E$20</f>
        <v>26.25%</v>
      </c>
      <c r="M11" s="29" t="str">
        <f>'BTC CAGR 40% 30%'!$Y$20</f>
        <v>83.88%</v>
      </c>
      <c r="N11" s="53"/>
      <c r="O11" s="29" t="str">
        <f>'BTC CAGR 25% 15%'!E38</f>
        <v>6.07%</v>
      </c>
      <c r="P11" s="29" t="str">
        <f>'BTC CAGR 25% 15%'!Y38</f>
        <v>9.14%</v>
      </c>
      <c r="Q11" s="29" t="str">
        <f>'BTC CAGR 30% 20%'!E38</f>
        <v>8.91%</v>
      </c>
      <c r="R11" s="29" t="str">
        <f>'BTC CAGR 30% 20%'!Y38</f>
        <v>15.60%</v>
      </c>
      <c r="S11" s="29" t="str">
        <f>'BTC CAGR 35% 25%'!E38</f>
        <v>12.33%</v>
      </c>
      <c r="T11" s="29" t="str">
        <f>'BTC CAGR 35% 25%'!Y38</f>
        <v>24.96%</v>
      </c>
      <c r="U11" s="29" t="str">
        <f>'BTC CAGR 40% 30%'!E38</f>
        <v>16.26%</v>
      </c>
      <c r="V11" s="29" t="str">
        <f>'BTC CAGR 40% 30%'!Y38</f>
        <v>38.32%</v>
      </c>
      <c r="W11" s="2"/>
    </row>
    <row r="12" spans="1:40" ht="15.85" customHeight="1" thickTop="1" thickBot="1" x14ac:dyDescent="0.5">
      <c r="B12" s="6" t="s">
        <v>49</v>
      </c>
      <c r="C12" s="41"/>
      <c r="D12" s="45">
        <v>0.5</v>
      </c>
      <c r="E12" s="38"/>
      <c r="F12" s="28" t="str">
        <f>'BTC CAGR 25% 15%'!$D$21</f>
        <v>6.72%</v>
      </c>
      <c r="G12" s="28" t="str">
        <f>'BTC CAGR 25% 15%'!$Y$21</f>
        <v>4.46%</v>
      </c>
      <c r="H12" s="28" t="str">
        <f>'BTC CAGR 30% 20%'!$D$21</f>
        <v>7.30%</v>
      </c>
      <c r="I12" s="28" t="str">
        <f>'BTC CAGR 30% 20%'!$Y$21</f>
        <v>4.64%</v>
      </c>
      <c r="J12" s="28" t="str">
        <f>'BTC CAGR 35% 25%'!$D$21</f>
        <v>7.76%</v>
      </c>
      <c r="K12" s="28" t="str">
        <f>'BTC CAGR 35% 25%'!$Y$21</f>
        <v>4.75%</v>
      </c>
      <c r="L12" s="28" t="str">
        <f>'BTC CAGR 40% 30%'!$D$21</f>
        <v>8.14%</v>
      </c>
      <c r="M12" s="28" t="str">
        <f>'BTC CAGR 40% 30%'!$Y$21</f>
        <v>4.83%</v>
      </c>
      <c r="N12" s="53"/>
      <c r="O12" s="28" t="str">
        <f>'BTC CAGR 25% 15%'!D39</f>
        <v>5.02%</v>
      </c>
      <c r="P12" s="28" t="str">
        <f>'BTC CAGR 25% 15%'!Y39</f>
        <v>3.76%</v>
      </c>
      <c r="Q12" s="28" t="str">
        <f>'BTC CAGR 30% 20%'!D39</f>
        <v>5.98%</v>
      </c>
      <c r="R12" s="28" t="str">
        <f>'BTC CAGR 30% 20%'!Y39</f>
        <v>4.19%</v>
      </c>
      <c r="S12" s="28" t="str">
        <f>'BTC CAGR 35% 25%'!D39</f>
        <v>6.72%</v>
      </c>
      <c r="T12" s="28" t="str">
        <f>'BTC CAGR 35% 25%'!Y39</f>
        <v>4.46%</v>
      </c>
      <c r="U12" s="28" t="str">
        <f>'BTC CAGR 40% 30%'!D39</f>
        <v>7.30%</v>
      </c>
      <c r="V12" s="28" t="str">
        <f>'BTC CAGR 40% 30%'!Y39</f>
        <v>4.64%</v>
      </c>
      <c r="W12" s="2"/>
    </row>
    <row r="13" spans="1:40" ht="15.85" customHeight="1" thickTop="1" thickBot="1" x14ac:dyDescent="0.5">
      <c r="B13" s="9"/>
      <c r="D13" s="35"/>
      <c r="F13" s="35"/>
      <c r="G13" s="35"/>
      <c r="H13" s="35"/>
      <c r="I13" s="35"/>
      <c r="J13" s="35"/>
      <c r="K13" s="35"/>
      <c r="L13" s="35"/>
      <c r="M13" s="35"/>
      <c r="N13" s="33"/>
      <c r="O13" s="35"/>
      <c r="P13" s="35"/>
      <c r="Q13" s="35"/>
      <c r="R13" s="35"/>
      <c r="S13" s="35"/>
      <c r="T13" s="35"/>
      <c r="U13" s="35"/>
      <c r="V13" s="35"/>
    </row>
    <row r="14" spans="1:40" ht="31.5" customHeight="1" thickTop="1" thickBot="1" x14ac:dyDescent="0.5">
      <c r="A14" s="4"/>
      <c r="B14" s="32" t="s">
        <v>45</v>
      </c>
      <c r="C14" s="42"/>
      <c r="D14" s="30">
        <v>20000</v>
      </c>
      <c r="E14" s="39"/>
      <c r="F14" s="83" t="s">
        <v>39</v>
      </c>
      <c r="G14" s="84"/>
      <c r="H14" s="84"/>
      <c r="I14" s="84"/>
      <c r="J14" s="84"/>
      <c r="K14" s="84"/>
      <c r="L14" s="84"/>
      <c r="M14" s="85"/>
      <c r="N14" s="51"/>
      <c r="O14" s="83" t="s">
        <v>28</v>
      </c>
      <c r="P14" s="84"/>
      <c r="Q14" s="84"/>
      <c r="R14" s="84"/>
      <c r="S14" s="84"/>
      <c r="T14" s="84"/>
      <c r="U14" s="84"/>
      <c r="V14" s="85"/>
      <c r="W14" s="2"/>
    </row>
    <row r="15" spans="1:40" ht="15.85" customHeight="1" thickTop="1" thickBot="1" x14ac:dyDescent="0.5">
      <c r="B15" s="86" t="s">
        <v>46</v>
      </c>
      <c r="C15" s="43"/>
      <c r="D15" s="88" t="s">
        <v>22</v>
      </c>
      <c r="E15" s="37"/>
      <c r="F15" s="89" t="s">
        <v>30</v>
      </c>
      <c r="G15" s="89"/>
      <c r="H15" s="89" t="s">
        <v>31</v>
      </c>
      <c r="I15" s="89"/>
      <c r="J15" s="89" t="s">
        <v>34</v>
      </c>
      <c r="K15" s="89"/>
      <c r="L15" s="89" t="s">
        <v>35</v>
      </c>
      <c r="M15" s="89"/>
      <c r="N15" s="52"/>
      <c r="O15" s="89" t="s">
        <v>44</v>
      </c>
      <c r="P15" s="89"/>
      <c r="Q15" s="89" t="s">
        <v>36</v>
      </c>
      <c r="R15" s="89"/>
      <c r="S15" s="89" t="s">
        <v>30</v>
      </c>
      <c r="T15" s="89"/>
      <c r="U15" s="89" t="s">
        <v>31</v>
      </c>
      <c r="V15" s="89"/>
      <c r="W15" s="2"/>
    </row>
    <row r="16" spans="1:40" ht="15.85" customHeight="1" thickTop="1" thickBot="1" x14ac:dyDescent="0.5">
      <c r="B16" s="87"/>
      <c r="C16" s="43"/>
      <c r="D16" s="88"/>
      <c r="E16" s="37"/>
      <c r="F16" s="26" t="s">
        <v>32</v>
      </c>
      <c r="G16" s="26" t="s">
        <v>33</v>
      </c>
      <c r="H16" s="26" t="s">
        <v>32</v>
      </c>
      <c r="I16" s="26" t="s">
        <v>33</v>
      </c>
      <c r="J16" s="26" t="s">
        <v>32</v>
      </c>
      <c r="K16" s="26" t="s">
        <v>33</v>
      </c>
      <c r="L16" s="26" t="s">
        <v>32</v>
      </c>
      <c r="M16" s="26" t="s">
        <v>33</v>
      </c>
      <c r="N16" s="52"/>
      <c r="O16" s="26" t="s">
        <v>37</v>
      </c>
      <c r="P16" s="26" t="s">
        <v>38</v>
      </c>
      <c r="Q16" s="26" t="s">
        <v>37</v>
      </c>
      <c r="R16" s="26" t="s">
        <v>38</v>
      </c>
      <c r="S16" s="26" t="s">
        <v>37</v>
      </c>
      <c r="T16" s="26" t="s">
        <v>38</v>
      </c>
      <c r="U16" s="26" t="s">
        <v>37</v>
      </c>
      <c r="V16" s="26" t="s">
        <v>38</v>
      </c>
      <c r="W16" s="2"/>
    </row>
    <row r="17" spans="2:23" ht="15.85" customHeight="1" thickTop="1" thickBot="1" x14ac:dyDescent="0.5">
      <c r="B17" s="6" t="s">
        <v>47</v>
      </c>
      <c r="C17" s="41"/>
      <c r="D17" s="45">
        <v>0.2</v>
      </c>
      <c r="E17" s="38"/>
      <c r="F17" s="28">
        <f t="shared" ref="F17:M17" si="0">F$10*$D$14/2</f>
        <v>268</v>
      </c>
      <c r="G17" s="28">
        <f t="shared" si="0"/>
        <v>179</v>
      </c>
      <c r="H17" s="28">
        <f t="shared" si="0"/>
        <v>292</v>
      </c>
      <c r="I17" s="28">
        <f t="shared" si="0"/>
        <v>185</v>
      </c>
      <c r="J17" s="28">
        <f t="shared" si="0"/>
        <v>310</v>
      </c>
      <c r="K17" s="28">
        <f t="shared" si="0"/>
        <v>190</v>
      </c>
      <c r="L17" s="28">
        <f t="shared" si="0"/>
        <v>325.99999999999994</v>
      </c>
      <c r="M17" s="28">
        <f t="shared" si="0"/>
        <v>193</v>
      </c>
      <c r="N17" s="53"/>
      <c r="O17" s="28">
        <f t="shared" ref="O17:V17" si="1">O$10*$D$14/2</f>
        <v>202</v>
      </c>
      <c r="P17" s="28">
        <f t="shared" si="1"/>
        <v>151</v>
      </c>
      <c r="Q17" s="28">
        <f t="shared" si="1"/>
        <v>240</v>
      </c>
      <c r="R17" s="28">
        <f t="shared" si="1"/>
        <v>168</v>
      </c>
      <c r="S17" s="28">
        <f t="shared" si="1"/>
        <v>268</v>
      </c>
      <c r="T17" s="28">
        <f t="shared" si="1"/>
        <v>179</v>
      </c>
      <c r="U17" s="28">
        <f t="shared" si="1"/>
        <v>292</v>
      </c>
      <c r="V17" s="28">
        <f t="shared" si="1"/>
        <v>185</v>
      </c>
      <c r="W17" s="2"/>
    </row>
    <row r="18" spans="2:23" ht="15.85" customHeight="1" thickTop="1" thickBot="1" x14ac:dyDescent="0.5">
      <c r="B18" s="6" t="s">
        <v>48</v>
      </c>
      <c r="C18" s="41"/>
      <c r="D18" s="45">
        <v>0.3</v>
      </c>
      <c r="E18" s="38"/>
      <c r="F18" s="31">
        <f>$F$6 * F$11 * $D$14 / 2</f>
        <v>123300000</v>
      </c>
      <c r="G18" s="31">
        <f t="shared" ref="G18:M18" si="2">$F$6 * G$11 * $D$14 / 2</f>
        <v>249600000</v>
      </c>
      <c r="H18" s="31">
        <f t="shared" si="2"/>
        <v>162600000</v>
      </c>
      <c r="I18" s="31">
        <f t="shared" si="2"/>
        <v>383200000</v>
      </c>
      <c r="J18" s="31">
        <f t="shared" si="2"/>
        <v>209000000</v>
      </c>
      <c r="K18" s="31">
        <f t="shared" si="2"/>
        <v>572999999.99999988</v>
      </c>
      <c r="L18" s="31">
        <f t="shared" si="2"/>
        <v>262500000</v>
      </c>
      <c r="M18" s="31">
        <f t="shared" si="2"/>
        <v>838800000</v>
      </c>
      <c r="N18" s="54"/>
      <c r="O18" s="31">
        <f>$O$6 * O$11 * $D$14 / 2</f>
        <v>789100000</v>
      </c>
      <c r="P18" s="31">
        <f t="shared" ref="P18:V18" si="3">$O$6 * P$11 * $D$14 / 2</f>
        <v>1188200000</v>
      </c>
      <c r="Q18" s="31">
        <f t="shared" si="3"/>
        <v>1158300000</v>
      </c>
      <c r="R18" s="31">
        <f t="shared" si="3"/>
        <v>2028000000</v>
      </c>
      <c r="S18" s="31">
        <f t="shared" si="3"/>
        <v>1602900000</v>
      </c>
      <c r="T18" s="31">
        <f t="shared" si="3"/>
        <v>3244800000</v>
      </c>
      <c r="U18" s="31">
        <f t="shared" si="3"/>
        <v>2113800000</v>
      </c>
      <c r="V18" s="31">
        <f t="shared" si="3"/>
        <v>4981600000</v>
      </c>
      <c r="W18" s="2"/>
    </row>
    <row r="19" spans="2:23" ht="15.85" customHeight="1" thickTop="1" thickBot="1" x14ac:dyDescent="0.5">
      <c r="B19" s="6" t="s">
        <v>49</v>
      </c>
      <c r="C19" s="41"/>
      <c r="D19" s="45">
        <v>0.5</v>
      </c>
      <c r="E19" s="38"/>
      <c r="F19" s="28">
        <f t="shared" ref="F19:M19" si="4">F$12*$D$14/2</f>
        <v>672</v>
      </c>
      <c r="G19" s="28">
        <f t="shared" si="4"/>
        <v>446</v>
      </c>
      <c r="H19" s="28">
        <f t="shared" si="4"/>
        <v>730</v>
      </c>
      <c r="I19" s="28">
        <f t="shared" si="4"/>
        <v>463.99999999999994</v>
      </c>
      <c r="J19" s="28">
        <f t="shared" si="4"/>
        <v>776</v>
      </c>
      <c r="K19" s="28">
        <f t="shared" si="4"/>
        <v>475</v>
      </c>
      <c r="L19" s="28">
        <f t="shared" si="4"/>
        <v>814</v>
      </c>
      <c r="M19" s="28">
        <f t="shared" si="4"/>
        <v>483</v>
      </c>
      <c r="N19" s="53"/>
      <c r="O19" s="28">
        <f t="shared" ref="O19:V19" si="5">O$12*$D$14/2</f>
        <v>502</v>
      </c>
      <c r="P19" s="28">
        <f t="shared" si="5"/>
        <v>376</v>
      </c>
      <c r="Q19" s="28">
        <f t="shared" si="5"/>
        <v>598</v>
      </c>
      <c r="R19" s="28">
        <f t="shared" si="5"/>
        <v>419</v>
      </c>
      <c r="S19" s="28">
        <f t="shared" si="5"/>
        <v>672</v>
      </c>
      <c r="T19" s="28">
        <f t="shared" si="5"/>
        <v>446</v>
      </c>
      <c r="U19" s="28">
        <f t="shared" si="5"/>
        <v>730</v>
      </c>
      <c r="V19" s="28">
        <f t="shared" si="5"/>
        <v>463.99999999999994</v>
      </c>
      <c r="W19" s="2"/>
    </row>
    <row r="20" spans="2:23" ht="15.85" customHeight="1" thickTop="1" thickBot="1" x14ac:dyDescent="0.5">
      <c r="D20" s="35"/>
      <c r="F20" s="24"/>
      <c r="G20" s="24"/>
      <c r="H20" s="24"/>
      <c r="I20" s="24"/>
      <c r="J20" s="24"/>
      <c r="K20" s="24"/>
      <c r="L20" s="24"/>
      <c r="M20" s="24"/>
      <c r="N20" s="33"/>
      <c r="O20" s="24"/>
      <c r="P20" s="24"/>
      <c r="Q20" s="24"/>
      <c r="R20" s="24"/>
      <c r="S20" s="24"/>
      <c r="T20" s="24"/>
      <c r="U20" s="24"/>
      <c r="V20" s="24"/>
    </row>
    <row r="21" spans="2:23" ht="31.5" customHeight="1" thickTop="1" thickBot="1" x14ac:dyDescent="0.5">
      <c r="B21" s="32" t="s">
        <v>45</v>
      </c>
      <c r="C21" s="42"/>
      <c r="D21" s="30">
        <v>400000</v>
      </c>
      <c r="E21" s="39"/>
      <c r="F21" s="83" t="s">
        <v>39</v>
      </c>
      <c r="G21" s="84"/>
      <c r="H21" s="84"/>
      <c r="I21" s="84"/>
      <c r="J21" s="84"/>
      <c r="K21" s="84"/>
      <c r="L21" s="84"/>
      <c r="M21" s="85"/>
      <c r="N21" s="51"/>
      <c r="O21" s="83" t="s">
        <v>28</v>
      </c>
      <c r="P21" s="84"/>
      <c r="Q21" s="84"/>
      <c r="R21" s="84"/>
      <c r="S21" s="84"/>
      <c r="T21" s="84"/>
      <c r="U21" s="84"/>
      <c r="V21" s="85"/>
      <c r="W21" s="2"/>
    </row>
    <row r="22" spans="2:23" ht="15.85" customHeight="1" thickTop="1" thickBot="1" x14ac:dyDescent="0.5">
      <c r="B22" s="86" t="s">
        <v>46</v>
      </c>
      <c r="C22" s="43"/>
      <c r="D22" s="88" t="s">
        <v>22</v>
      </c>
      <c r="E22" s="37"/>
      <c r="F22" s="89" t="s">
        <v>30</v>
      </c>
      <c r="G22" s="89"/>
      <c r="H22" s="89" t="s">
        <v>31</v>
      </c>
      <c r="I22" s="89"/>
      <c r="J22" s="89" t="s">
        <v>34</v>
      </c>
      <c r="K22" s="89"/>
      <c r="L22" s="89" t="s">
        <v>35</v>
      </c>
      <c r="M22" s="89"/>
      <c r="N22" s="52"/>
      <c r="O22" s="89" t="s">
        <v>44</v>
      </c>
      <c r="P22" s="89"/>
      <c r="Q22" s="89" t="s">
        <v>36</v>
      </c>
      <c r="R22" s="89"/>
      <c r="S22" s="89" t="s">
        <v>30</v>
      </c>
      <c r="T22" s="89"/>
      <c r="U22" s="89" t="s">
        <v>30</v>
      </c>
      <c r="V22" s="89"/>
      <c r="W22" s="2"/>
    </row>
    <row r="23" spans="2:23" ht="15.85" customHeight="1" thickTop="1" thickBot="1" x14ac:dyDescent="0.5">
      <c r="B23" s="87"/>
      <c r="C23" s="43"/>
      <c r="D23" s="88"/>
      <c r="E23" s="37"/>
      <c r="F23" s="26" t="s">
        <v>32</v>
      </c>
      <c r="G23" s="26" t="s">
        <v>33</v>
      </c>
      <c r="H23" s="26" t="s">
        <v>32</v>
      </c>
      <c r="I23" s="26" t="s">
        <v>33</v>
      </c>
      <c r="J23" s="26" t="s">
        <v>32</v>
      </c>
      <c r="K23" s="26" t="s">
        <v>33</v>
      </c>
      <c r="L23" s="26" t="s">
        <v>32</v>
      </c>
      <c r="M23" s="26" t="s">
        <v>33</v>
      </c>
      <c r="N23" s="52"/>
      <c r="O23" s="26" t="s">
        <v>37</v>
      </c>
      <c r="P23" s="26" t="s">
        <v>38</v>
      </c>
      <c r="Q23" s="26" t="s">
        <v>37</v>
      </c>
      <c r="R23" s="26" t="s">
        <v>38</v>
      </c>
      <c r="S23" s="26" t="s">
        <v>37</v>
      </c>
      <c r="T23" s="26" t="s">
        <v>38</v>
      </c>
      <c r="U23" s="26" t="s">
        <v>37</v>
      </c>
      <c r="V23" s="26" t="s">
        <v>38</v>
      </c>
      <c r="W23" s="2"/>
    </row>
    <row r="24" spans="2:23" ht="15.85" customHeight="1" thickTop="1" thickBot="1" x14ac:dyDescent="0.5">
      <c r="B24" s="6" t="s">
        <v>47</v>
      </c>
      <c r="C24" s="41"/>
      <c r="D24" s="45">
        <v>0.2</v>
      </c>
      <c r="E24" s="38"/>
      <c r="F24" s="28">
        <f t="shared" ref="F24:M24" si="6">F$10*$D$21/2</f>
        <v>5360</v>
      </c>
      <c r="G24" s="28">
        <f t="shared" si="6"/>
        <v>3580</v>
      </c>
      <c r="H24" s="28">
        <f t="shared" si="6"/>
        <v>5840</v>
      </c>
      <c r="I24" s="28">
        <f t="shared" si="6"/>
        <v>3700</v>
      </c>
      <c r="J24" s="28">
        <f t="shared" si="6"/>
        <v>6200</v>
      </c>
      <c r="K24" s="28">
        <f t="shared" si="6"/>
        <v>3800</v>
      </c>
      <c r="L24" s="28">
        <f t="shared" si="6"/>
        <v>6519.9999999999991</v>
      </c>
      <c r="M24" s="28">
        <f t="shared" si="6"/>
        <v>3860.0000000000005</v>
      </c>
      <c r="N24" s="53"/>
      <c r="O24" s="28">
        <f t="shared" ref="O24:V24" si="7">O$10*$D$21/2</f>
        <v>4040</v>
      </c>
      <c r="P24" s="28">
        <f t="shared" si="7"/>
        <v>3020</v>
      </c>
      <c r="Q24" s="28">
        <f t="shared" si="7"/>
        <v>4800</v>
      </c>
      <c r="R24" s="28">
        <f t="shared" si="7"/>
        <v>3360</v>
      </c>
      <c r="S24" s="28">
        <f t="shared" si="7"/>
        <v>5360</v>
      </c>
      <c r="T24" s="28">
        <f t="shared" si="7"/>
        <v>3580</v>
      </c>
      <c r="U24" s="28">
        <f t="shared" si="7"/>
        <v>5840</v>
      </c>
      <c r="V24" s="28">
        <f t="shared" si="7"/>
        <v>3700</v>
      </c>
      <c r="W24" s="2"/>
    </row>
    <row r="25" spans="2:23" ht="15.85" customHeight="1" thickTop="1" thickBot="1" x14ac:dyDescent="0.5">
      <c r="B25" s="6" t="s">
        <v>48</v>
      </c>
      <c r="C25" s="41"/>
      <c r="D25" s="45">
        <v>0.3</v>
      </c>
      <c r="E25" s="38"/>
      <c r="F25" s="31">
        <f>$F$6 * F$11 * $D$21 / 2</f>
        <v>2466000000</v>
      </c>
      <c r="G25" s="31">
        <f t="shared" ref="G25:M25" si="8">$F$6 * G$11 * $D$21 / 2</f>
        <v>4992000000</v>
      </c>
      <c r="H25" s="31">
        <f t="shared" si="8"/>
        <v>3252000000</v>
      </c>
      <c r="I25" s="31">
        <f t="shared" si="8"/>
        <v>7664000000</v>
      </c>
      <c r="J25" s="31">
        <f t="shared" si="8"/>
        <v>4180000000</v>
      </c>
      <c r="K25" s="31">
        <f t="shared" si="8"/>
        <v>11459999999.999998</v>
      </c>
      <c r="L25" s="31">
        <f t="shared" si="8"/>
        <v>5250000000</v>
      </c>
      <c r="M25" s="31">
        <f t="shared" si="8"/>
        <v>16776000000</v>
      </c>
      <c r="N25" s="54"/>
      <c r="O25" s="31">
        <f>$O$6 * O$11 * $D$21 / 2</f>
        <v>15782000000</v>
      </c>
      <c r="P25" s="31">
        <f t="shared" ref="P25:V25" si="9">$O$6 * P$11 * $D$21 / 2</f>
        <v>23764000000</v>
      </c>
      <c r="Q25" s="31">
        <f t="shared" si="9"/>
        <v>23166000000</v>
      </c>
      <c r="R25" s="31">
        <f t="shared" si="9"/>
        <v>40560000000</v>
      </c>
      <c r="S25" s="31">
        <f t="shared" si="9"/>
        <v>32058000000</v>
      </c>
      <c r="T25" s="31">
        <f t="shared" si="9"/>
        <v>64896000000</v>
      </c>
      <c r="U25" s="31">
        <f t="shared" si="9"/>
        <v>42276000000</v>
      </c>
      <c r="V25" s="31">
        <f t="shared" si="9"/>
        <v>99632000000</v>
      </c>
      <c r="W25" s="2"/>
    </row>
    <row r="26" spans="2:23" ht="15.85" customHeight="1" thickTop="1" thickBot="1" x14ac:dyDescent="0.5">
      <c r="B26" s="6" t="s">
        <v>49</v>
      </c>
      <c r="C26" s="41"/>
      <c r="D26" s="45">
        <v>0.5</v>
      </c>
      <c r="E26" s="38"/>
      <c r="F26" s="28">
        <f t="shared" ref="F26:M26" si="10">F$12*$D$21/2</f>
        <v>13440</v>
      </c>
      <c r="G26" s="28">
        <f t="shared" si="10"/>
        <v>8920</v>
      </c>
      <c r="H26" s="28">
        <f t="shared" si="10"/>
        <v>14599.999999999998</v>
      </c>
      <c r="I26" s="28">
        <f t="shared" si="10"/>
        <v>9280</v>
      </c>
      <c r="J26" s="28">
        <f t="shared" si="10"/>
        <v>15520</v>
      </c>
      <c r="K26" s="28">
        <f t="shared" si="10"/>
        <v>9500</v>
      </c>
      <c r="L26" s="28">
        <f t="shared" si="10"/>
        <v>16280</v>
      </c>
      <c r="M26" s="28">
        <f t="shared" si="10"/>
        <v>9660</v>
      </c>
      <c r="N26" s="53"/>
      <c r="O26" s="28">
        <f t="shared" ref="O26:V26" si="11">O$12*$D$21/2</f>
        <v>10040</v>
      </c>
      <c r="P26" s="28">
        <f t="shared" si="11"/>
        <v>7520</v>
      </c>
      <c r="Q26" s="28">
        <f t="shared" si="11"/>
        <v>11960</v>
      </c>
      <c r="R26" s="28">
        <f t="shared" si="11"/>
        <v>8380</v>
      </c>
      <c r="S26" s="28">
        <f t="shared" si="11"/>
        <v>13440</v>
      </c>
      <c r="T26" s="28">
        <f t="shared" si="11"/>
        <v>8920</v>
      </c>
      <c r="U26" s="28">
        <f t="shared" si="11"/>
        <v>14599.999999999998</v>
      </c>
      <c r="V26" s="28">
        <f t="shared" si="11"/>
        <v>9280</v>
      </c>
      <c r="W26" s="2"/>
    </row>
    <row r="27" spans="2:23" ht="15.85" customHeight="1" thickTop="1" thickBot="1" x14ac:dyDescent="0.5">
      <c r="D27" s="35"/>
      <c r="F27" s="24"/>
      <c r="G27" s="24"/>
      <c r="H27" s="24"/>
      <c r="I27" s="24"/>
      <c r="J27" s="24"/>
      <c r="K27" s="24"/>
      <c r="L27" s="24"/>
      <c r="M27" s="24"/>
      <c r="N27" s="33"/>
      <c r="O27" s="24"/>
      <c r="P27" s="24"/>
      <c r="Q27" s="24"/>
      <c r="R27" s="24"/>
      <c r="S27" s="24"/>
      <c r="T27" s="24"/>
      <c r="U27" s="24"/>
      <c r="V27" s="24"/>
    </row>
    <row r="28" spans="2:23" ht="31.5" customHeight="1" thickTop="1" thickBot="1" x14ac:dyDescent="0.5">
      <c r="B28" s="32" t="s">
        <v>45</v>
      </c>
      <c r="C28" s="42"/>
      <c r="D28" s="46">
        <v>1000000</v>
      </c>
      <c r="E28" s="39"/>
      <c r="F28" s="83" t="s">
        <v>39</v>
      </c>
      <c r="G28" s="84"/>
      <c r="H28" s="84"/>
      <c r="I28" s="84"/>
      <c r="J28" s="84"/>
      <c r="K28" s="84"/>
      <c r="L28" s="84"/>
      <c r="M28" s="85"/>
      <c r="N28" s="51"/>
      <c r="O28" s="83" t="s">
        <v>28</v>
      </c>
      <c r="P28" s="84"/>
      <c r="Q28" s="84"/>
      <c r="R28" s="84"/>
      <c r="S28" s="84"/>
      <c r="T28" s="84"/>
      <c r="U28" s="84"/>
      <c r="V28" s="85"/>
      <c r="W28" s="2"/>
    </row>
    <row r="29" spans="2:23" ht="15.85" customHeight="1" thickTop="1" thickBot="1" x14ac:dyDescent="0.5">
      <c r="B29" s="86" t="s">
        <v>46</v>
      </c>
      <c r="C29" s="43"/>
      <c r="D29" s="88" t="s">
        <v>22</v>
      </c>
      <c r="E29" s="37"/>
      <c r="F29" s="89" t="s">
        <v>30</v>
      </c>
      <c r="G29" s="89"/>
      <c r="H29" s="89" t="s">
        <v>31</v>
      </c>
      <c r="I29" s="89"/>
      <c r="J29" s="89" t="s">
        <v>34</v>
      </c>
      <c r="K29" s="89"/>
      <c r="L29" s="89" t="s">
        <v>35</v>
      </c>
      <c r="M29" s="89"/>
      <c r="N29" s="52"/>
      <c r="O29" s="89" t="s">
        <v>44</v>
      </c>
      <c r="P29" s="89"/>
      <c r="Q29" s="89" t="s">
        <v>36</v>
      </c>
      <c r="R29" s="89"/>
      <c r="S29" s="89" t="s">
        <v>30</v>
      </c>
      <c r="T29" s="89"/>
      <c r="U29" s="89" t="s">
        <v>31</v>
      </c>
      <c r="V29" s="89"/>
      <c r="W29" s="2"/>
    </row>
    <row r="30" spans="2:23" ht="15.85" customHeight="1" thickTop="1" thickBot="1" x14ac:dyDescent="0.5">
      <c r="B30" s="87"/>
      <c r="C30" s="43"/>
      <c r="D30" s="88"/>
      <c r="E30" s="37"/>
      <c r="F30" s="26" t="s">
        <v>32</v>
      </c>
      <c r="G30" s="26" t="s">
        <v>33</v>
      </c>
      <c r="H30" s="26" t="s">
        <v>32</v>
      </c>
      <c r="I30" s="26" t="s">
        <v>33</v>
      </c>
      <c r="J30" s="26" t="s">
        <v>32</v>
      </c>
      <c r="K30" s="26" t="s">
        <v>33</v>
      </c>
      <c r="L30" s="26" t="s">
        <v>32</v>
      </c>
      <c r="M30" s="26" t="s">
        <v>33</v>
      </c>
      <c r="N30" s="52"/>
      <c r="O30" s="26" t="s">
        <v>37</v>
      </c>
      <c r="P30" s="26" t="s">
        <v>38</v>
      </c>
      <c r="Q30" s="26" t="s">
        <v>37</v>
      </c>
      <c r="R30" s="26" t="s">
        <v>38</v>
      </c>
      <c r="S30" s="26" t="s">
        <v>37</v>
      </c>
      <c r="T30" s="26" t="s">
        <v>38</v>
      </c>
      <c r="U30" s="26" t="s">
        <v>37</v>
      </c>
      <c r="V30" s="26" t="s">
        <v>38</v>
      </c>
      <c r="W30" s="2"/>
    </row>
    <row r="31" spans="2:23" ht="15.85" customHeight="1" thickTop="1" thickBot="1" x14ac:dyDescent="0.5">
      <c r="B31" s="6" t="s">
        <v>47</v>
      </c>
      <c r="C31" s="41"/>
      <c r="D31" s="45">
        <v>0.2</v>
      </c>
      <c r="E31" s="38"/>
      <c r="F31" s="28">
        <f t="shared" ref="F31:M31" si="12">F$10*$D$28/2</f>
        <v>13400</v>
      </c>
      <c r="G31" s="28">
        <f t="shared" si="12"/>
        <v>8950</v>
      </c>
      <c r="H31" s="28">
        <f t="shared" si="12"/>
        <v>14600</v>
      </c>
      <c r="I31" s="28">
        <f t="shared" si="12"/>
        <v>9250</v>
      </c>
      <c r="J31" s="28">
        <f t="shared" si="12"/>
        <v>15500</v>
      </c>
      <c r="K31" s="28">
        <f t="shared" si="12"/>
        <v>9500</v>
      </c>
      <c r="L31" s="28">
        <f t="shared" si="12"/>
        <v>16299.999999999998</v>
      </c>
      <c r="M31" s="28">
        <f t="shared" si="12"/>
        <v>9650</v>
      </c>
      <c r="N31" s="53"/>
      <c r="O31" s="28">
        <f t="shared" ref="O31:V31" si="13">O$10*$D$28/2</f>
        <v>10100</v>
      </c>
      <c r="P31" s="28">
        <f t="shared" si="13"/>
        <v>7550</v>
      </c>
      <c r="Q31" s="28">
        <f t="shared" si="13"/>
        <v>12000</v>
      </c>
      <c r="R31" s="28">
        <f t="shared" si="13"/>
        <v>8400</v>
      </c>
      <c r="S31" s="28">
        <f t="shared" si="13"/>
        <v>13400</v>
      </c>
      <c r="T31" s="28">
        <f t="shared" si="13"/>
        <v>8950</v>
      </c>
      <c r="U31" s="28">
        <f t="shared" si="13"/>
        <v>14600</v>
      </c>
      <c r="V31" s="28">
        <f t="shared" si="13"/>
        <v>9250</v>
      </c>
      <c r="W31" s="2"/>
    </row>
    <row r="32" spans="2:23" ht="15.85" customHeight="1" thickTop="1" thickBot="1" x14ac:dyDescent="0.5">
      <c r="B32" s="6" t="s">
        <v>48</v>
      </c>
      <c r="C32" s="41"/>
      <c r="D32" s="45">
        <v>0.3</v>
      </c>
      <c r="E32" s="38"/>
      <c r="F32" s="31">
        <f>$F$6 * F$11 * $D$28 / 2</f>
        <v>6165000000</v>
      </c>
      <c r="G32" s="31">
        <f t="shared" ref="G32:M32" si="14">$F$6 * G$11 * $D$28 / 2</f>
        <v>12480000000</v>
      </c>
      <c r="H32" s="31">
        <f t="shared" si="14"/>
        <v>8130000000</v>
      </c>
      <c r="I32" s="31">
        <f t="shared" si="14"/>
        <v>19160000000</v>
      </c>
      <c r="J32" s="31">
        <f t="shared" si="14"/>
        <v>10450000000</v>
      </c>
      <c r="K32" s="31">
        <f t="shared" si="14"/>
        <v>28649999999.999996</v>
      </c>
      <c r="L32" s="31">
        <f t="shared" si="14"/>
        <v>13125000000</v>
      </c>
      <c r="M32" s="31">
        <f t="shared" si="14"/>
        <v>41940000000</v>
      </c>
      <c r="N32" s="54"/>
      <c r="O32" s="31">
        <f>$O$6 * O$11 * $D$28 / 2</f>
        <v>39455000000</v>
      </c>
      <c r="P32" s="31">
        <f t="shared" ref="P32:V32" si="15">$O$6 * P$11 * $D$28 / 2</f>
        <v>59410000000</v>
      </c>
      <c r="Q32" s="31">
        <f t="shared" si="15"/>
        <v>57915000000</v>
      </c>
      <c r="R32" s="31">
        <f t="shared" si="15"/>
        <v>101400000000</v>
      </c>
      <c r="S32" s="31">
        <f t="shared" si="15"/>
        <v>80145000000</v>
      </c>
      <c r="T32" s="31">
        <f t="shared" si="15"/>
        <v>162240000000</v>
      </c>
      <c r="U32" s="31">
        <f t="shared" si="15"/>
        <v>105690000000</v>
      </c>
      <c r="V32" s="31">
        <f t="shared" si="15"/>
        <v>249080000000</v>
      </c>
      <c r="W32" s="2"/>
    </row>
    <row r="33" spans="2:23" ht="15.85" customHeight="1" thickTop="1" thickBot="1" x14ac:dyDescent="0.5">
      <c r="B33" s="6" t="s">
        <v>49</v>
      </c>
      <c r="C33" s="41"/>
      <c r="D33" s="45">
        <v>0.5</v>
      </c>
      <c r="E33" s="38"/>
      <c r="F33" s="28">
        <f t="shared" ref="F33:M33" si="16">F$12*$D$28/2</f>
        <v>33600</v>
      </c>
      <c r="G33" s="28">
        <f t="shared" si="16"/>
        <v>22300</v>
      </c>
      <c r="H33" s="28">
        <f t="shared" si="16"/>
        <v>36500</v>
      </c>
      <c r="I33" s="28">
        <f t="shared" si="16"/>
        <v>23200</v>
      </c>
      <c r="J33" s="28">
        <f t="shared" si="16"/>
        <v>38800</v>
      </c>
      <c r="K33" s="28">
        <f t="shared" si="16"/>
        <v>23750</v>
      </c>
      <c r="L33" s="28">
        <f t="shared" si="16"/>
        <v>40700</v>
      </c>
      <c r="M33" s="28">
        <f t="shared" si="16"/>
        <v>24150</v>
      </c>
      <c r="N33" s="53"/>
      <c r="O33" s="28">
        <f t="shared" ref="O33:V33" si="17">O$12*$D$28/2</f>
        <v>25100</v>
      </c>
      <c r="P33" s="28">
        <f t="shared" si="17"/>
        <v>18800</v>
      </c>
      <c r="Q33" s="28">
        <f t="shared" si="17"/>
        <v>29900</v>
      </c>
      <c r="R33" s="28">
        <f t="shared" si="17"/>
        <v>20950</v>
      </c>
      <c r="S33" s="28">
        <f t="shared" si="17"/>
        <v>33600</v>
      </c>
      <c r="T33" s="28">
        <f t="shared" si="17"/>
        <v>22300</v>
      </c>
      <c r="U33" s="28">
        <f t="shared" si="17"/>
        <v>36500</v>
      </c>
      <c r="V33" s="28">
        <f t="shared" si="17"/>
        <v>23200</v>
      </c>
      <c r="W33" s="2"/>
    </row>
    <row r="34" spans="2:23" ht="15.85" customHeight="1" thickTop="1" x14ac:dyDescent="0.45">
      <c r="D34" s="27"/>
    </row>
  </sheetData>
  <mergeCells count="51">
    <mergeCell ref="U29:V29"/>
    <mergeCell ref="O28:V28"/>
    <mergeCell ref="O8:P8"/>
    <mergeCell ref="Q8:R8"/>
    <mergeCell ref="O15:P15"/>
    <mergeCell ref="Q15:R15"/>
    <mergeCell ref="S15:T15"/>
    <mergeCell ref="S8:T8"/>
    <mergeCell ref="U8:V8"/>
    <mergeCell ref="U15:V15"/>
    <mergeCell ref="U22:V22"/>
    <mergeCell ref="O14:V14"/>
    <mergeCell ref="O21:V21"/>
    <mergeCell ref="O22:P22"/>
    <mergeCell ref="Q22:R22"/>
    <mergeCell ref="O29:P29"/>
    <mergeCell ref="Q29:R29"/>
    <mergeCell ref="S29:T29"/>
    <mergeCell ref="S22:T22"/>
    <mergeCell ref="F28:M28"/>
    <mergeCell ref="B29:B30"/>
    <mergeCell ref="D29:D30"/>
    <mergeCell ref="F29:G29"/>
    <mergeCell ref="H29:I29"/>
    <mergeCell ref="J29:K29"/>
    <mergeCell ref="L29:M29"/>
    <mergeCell ref="F21:M21"/>
    <mergeCell ref="B22:B23"/>
    <mergeCell ref="D22:D23"/>
    <mergeCell ref="F22:G22"/>
    <mergeCell ref="H22:I22"/>
    <mergeCell ref="J22:K22"/>
    <mergeCell ref="L22:M22"/>
    <mergeCell ref="B2:V4"/>
    <mergeCell ref="F7:M7"/>
    <mergeCell ref="F8:G8"/>
    <mergeCell ref="H8:I8"/>
    <mergeCell ref="J8:K8"/>
    <mergeCell ref="L8:M8"/>
    <mergeCell ref="D8:D9"/>
    <mergeCell ref="B8:B9"/>
    <mergeCell ref="G6:M6"/>
    <mergeCell ref="P6:V6"/>
    <mergeCell ref="O7:V7"/>
    <mergeCell ref="F14:M14"/>
    <mergeCell ref="B15:B16"/>
    <mergeCell ref="D15:D16"/>
    <mergeCell ref="F15:G15"/>
    <mergeCell ref="H15:I15"/>
    <mergeCell ref="J15:K15"/>
    <mergeCell ref="L15:M15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926E-D9AE-4F4E-95F0-99A210C7A362}">
  <dimension ref="A1:Y41"/>
  <sheetViews>
    <sheetView zoomScaleNormal="100" workbookViewId="0">
      <selection activeCell="D2" sqref="D2:W4"/>
    </sheetView>
  </sheetViews>
  <sheetFormatPr defaultRowHeight="15.85" customHeight="1" x14ac:dyDescent="0.45"/>
  <cols>
    <col min="1" max="1" width="1.6640625" style="1" customWidth="1"/>
    <col min="2" max="2" width="27.59765625" style="1" customWidth="1"/>
    <col min="3" max="3" width="10" style="25" customWidth="1"/>
    <col min="4" max="23" width="9.6640625" style="1" customWidth="1"/>
    <col min="24" max="24" width="1.6640625" style="1" customWidth="1"/>
    <col min="25" max="25" width="14.46484375" style="1" customWidth="1"/>
    <col min="26" max="26" width="1.53125" style="1" customWidth="1"/>
    <col min="27" max="16384" width="9.06640625" style="1"/>
  </cols>
  <sheetData>
    <row r="1" spans="1:25" ht="9.4" customHeight="1" thickBot="1" x14ac:dyDescent="0.5">
      <c r="B1" s="9"/>
      <c r="C1" s="24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9"/>
      <c r="W1" s="9"/>
    </row>
    <row r="2" spans="1:25" ht="15.85" customHeight="1" thickTop="1" thickBot="1" x14ac:dyDescent="0.5">
      <c r="A2" s="4"/>
      <c r="B2" s="6" t="s">
        <v>29</v>
      </c>
      <c r="C2" s="11" t="s">
        <v>14</v>
      </c>
      <c r="D2" s="101" t="s">
        <v>55</v>
      </c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2"/>
      <c r="Y2" s="13">
        <v>45891</v>
      </c>
    </row>
    <row r="3" spans="1:25" ht="15.85" customHeight="1" thickTop="1" thickBot="1" x14ac:dyDescent="0.5">
      <c r="A3" s="4"/>
      <c r="B3" s="6" t="str">
        <f>"Stability Asset Fully Diluted Units"</f>
        <v>Stability Asset Fully Diluted Units</v>
      </c>
      <c r="C3" s="14">
        <v>21000000</v>
      </c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2"/>
      <c r="Y3" s="15" t="s">
        <v>25</v>
      </c>
    </row>
    <row r="4" spans="1:25" ht="15.85" customHeight="1" thickTop="1" thickBot="1" x14ac:dyDescent="0.5">
      <c r="A4" s="4"/>
      <c r="B4" s="6" t="s">
        <v>3</v>
      </c>
      <c r="C4" s="11">
        <v>10</v>
      </c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2"/>
      <c r="Y4" s="15"/>
    </row>
    <row r="5" spans="1:25" ht="15.85" customHeight="1" thickTop="1" thickBot="1" x14ac:dyDescent="0.5">
      <c r="A5" s="4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2"/>
    </row>
    <row r="6" spans="1:25" ht="15.75" customHeight="1" thickTop="1" thickBot="1" x14ac:dyDescent="0.5">
      <c r="A6" s="4"/>
      <c r="B6" s="6" t="s">
        <v>24</v>
      </c>
      <c r="C6" s="7">
        <f>$C$4*C8</f>
        <v>1000000</v>
      </c>
      <c r="D6" s="102" t="str">
        <f>"2025 - 2035 : "&amp;$C7*100&amp;"% " &amp; B7</f>
        <v>2025 - 2035 : 25% BTC 10Y CAGR</v>
      </c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2"/>
      <c r="Y6" s="23"/>
    </row>
    <row r="7" spans="1:25" ht="15.85" customHeight="1" thickTop="1" thickBot="1" x14ac:dyDescent="0.5">
      <c r="A7" s="4"/>
      <c r="B7" s="6" t="str">
        <f>$C$2 &amp; " 10Y CAGR"</f>
        <v>BTC 10Y CAGR</v>
      </c>
      <c r="C7" s="16">
        <v>0.25</v>
      </c>
      <c r="D7" s="103" t="s">
        <v>4</v>
      </c>
      <c r="E7" s="103"/>
      <c r="F7" s="103" t="s">
        <v>5</v>
      </c>
      <c r="G7" s="103"/>
      <c r="H7" s="103" t="s">
        <v>6</v>
      </c>
      <c r="I7" s="103"/>
      <c r="J7" s="103" t="s">
        <v>7</v>
      </c>
      <c r="K7" s="103"/>
      <c r="L7" s="103" t="s">
        <v>8</v>
      </c>
      <c r="M7" s="103"/>
      <c r="N7" s="103" t="s">
        <v>9</v>
      </c>
      <c r="O7" s="103"/>
      <c r="P7" s="103" t="s">
        <v>10</v>
      </c>
      <c r="Q7" s="103"/>
      <c r="R7" s="103" t="s">
        <v>11</v>
      </c>
      <c r="S7" s="103"/>
      <c r="T7" s="103" t="s">
        <v>12</v>
      </c>
      <c r="U7" s="103"/>
      <c r="V7" s="103" t="s">
        <v>13</v>
      </c>
      <c r="W7" s="103"/>
      <c r="X7" s="2"/>
      <c r="Y7" s="17"/>
    </row>
    <row r="8" spans="1:25" ht="15.85" customHeight="1" thickTop="1" thickBot="1" x14ac:dyDescent="0.5">
      <c r="A8" s="4"/>
      <c r="B8" s="6" t="str">
        <f>$C$2 &amp; " USD Value"</f>
        <v>BTC USD Value</v>
      </c>
      <c r="C8" s="7">
        <v>100000</v>
      </c>
      <c r="D8" s="104">
        <f>C8*C7+C8</f>
        <v>125000</v>
      </c>
      <c r="E8" s="104"/>
      <c r="F8" s="104">
        <f>D8*C7+D8</f>
        <v>156250</v>
      </c>
      <c r="G8" s="104"/>
      <c r="H8" s="104">
        <f>F8*C7+F8</f>
        <v>195312.5</v>
      </c>
      <c r="I8" s="104"/>
      <c r="J8" s="104">
        <f>H8*C7+H8</f>
        <v>244140.625</v>
      </c>
      <c r="K8" s="104"/>
      <c r="L8" s="104">
        <f>J8*C7+J8</f>
        <v>305175.78125</v>
      </c>
      <c r="M8" s="104"/>
      <c r="N8" s="104">
        <f>L8*C7+L8</f>
        <v>381469.7265625</v>
      </c>
      <c r="O8" s="104"/>
      <c r="P8" s="104">
        <f>N8*C7+N8</f>
        <v>476837.158203125</v>
      </c>
      <c r="Q8" s="104"/>
      <c r="R8" s="104">
        <f>P8*C7+P8</f>
        <v>596046.44775390625</v>
      </c>
      <c r="S8" s="104"/>
      <c r="T8" s="104">
        <f>R8*C7+R8</f>
        <v>745058.05969238281</v>
      </c>
      <c r="U8" s="104"/>
      <c r="V8" s="104">
        <f>T8*C7+T8</f>
        <v>931322.57461547852</v>
      </c>
      <c r="W8" s="104"/>
      <c r="X8" s="2"/>
    </row>
    <row r="9" spans="1:25" ht="15.85" customHeight="1" thickTop="1" thickBot="1" x14ac:dyDescent="0.5">
      <c r="A9" s="4"/>
      <c r="B9" s="6" t="str">
        <f>$C$2 &amp; " USD Marketcap"</f>
        <v>BTC USD Marketcap</v>
      </c>
      <c r="C9" s="18">
        <f>C8*$C$3</f>
        <v>2100000000000</v>
      </c>
      <c r="D9" s="105">
        <f>D8*$C$3</f>
        <v>2625000000000</v>
      </c>
      <c r="E9" s="105"/>
      <c r="F9" s="105">
        <f>F8*$C$3</f>
        <v>3281250000000</v>
      </c>
      <c r="G9" s="105"/>
      <c r="H9" s="105">
        <f>H8*$C$3</f>
        <v>4101562500000</v>
      </c>
      <c r="I9" s="105"/>
      <c r="J9" s="105">
        <f>J8*$C$3</f>
        <v>5126953125000</v>
      </c>
      <c r="K9" s="105"/>
      <c r="L9" s="105">
        <f>L8*$C$3</f>
        <v>6408691406250</v>
      </c>
      <c r="M9" s="105"/>
      <c r="N9" s="105">
        <f>N8*$C$3</f>
        <v>8010864257812.5</v>
      </c>
      <c r="O9" s="105"/>
      <c r="P9" s="105">
        <f>P8*$C$3</f>
        <v>10013580322265.625</v>
      </c>
      <c r="Q9" s="105"/>
      <c r="R9" s="105">
        <f>R8*$C$3</f>
        <v>12516975402832.031</v>
      </c>
      <c r="S9" s="105"/>
      <c r="T9" s="105">
        <f>T8*$C$3</f>
        <v>15646219253540.039</v>
      </c>
      <c r="U9" s="105"/>
      <c r="V9" s="105">
        <f>V8*$C$3</f>
        <v>19557774066925.047</v>
      </c>
      <c r="W9" s="105"/>
      <c r="X9" s="2"/>
    </row>
    <row r="10" spans="1:25" ht="15.85" customHeight="1" thickTop="1" x14ac:dyDescent="0.45">
      <c r="A10" s="4"/>
      <c r="B10" s="108" t="s">
        <v>17</v>
      </c>
      <c r="C10" s="110" t="s">
        <v>22</v>
      </c>
      <c r="D10" s="106" t="s">
        <v>14</v>
      </c>
      <c r="E10" s="106" t="s">
        <v>15</v>
      </c>
      <c r="F10" s="106" t="s">
        <v>14</v>
      </c>
      <c r="G10" s="106" t="s">
        <v>15</v>
      </c>
      <c r="H10" s="106" t="s">
        <v>14</v>
      </c>
      <c r="I10" s="106" t="s">
        <v>15</v>
      </c>
      <c r="J10" s="106" t="s">
        <v>14</v>
      </c>
      <c r="K10" s="106" t="s">
        <v>15</v>
      </c>
      <c r="L10" s="106" t="s">
        <v>14</v>
      </c>
      <c r="M10" s="106" t="s">
        <v>15</v>
      </c>
      <c r="N10" s="106" t="s">
        <v>14</v>
      </c>
      <c r="O10" s="106" t="s">
        <v>15</v>
      </c>
      <c r="P10" s="106" t="s">
        <v>14</v>
      </c>
      <c r="Q10" s="106" t="s">
        <v>15</v>
      </c>
      <c r="R10" s="106" t="s">
        <v>14</v>
      </c>
      <c r="S10" s="106" t="s">
        <v>15</v>
      </c>
      <c r="T10" s="106" t="s">
        <v>14</v>
      </c>
      <c r="U10" s="106" t="s">
        <v>15</v>
      </c>
      <c r="V10" s="106" t="s">
        <v>14</v>
      </c>
      <c r="W10" s="106" t="s">
        <v>15</v>
      </c>
      <c r="X10" s="2"/>
    </row>
    <row r="11" spans="1:25" ht="15.85" customHeight="1" thickBot="1" x14ac:dyDescent="0.5">
      <c r="A11" s="4"/>
      <c r="B11" s="109"/>
      <c r="C11" s="111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2"/>
    </row>
    <row r="12" spans="1:25" ht="15.85" customHeight="1" thickTop="1" thickBot="1" x14ac:dyDescent="0.5">
      <c r="A12" s="4"/>
      <c r="B12" s="6" t="s">
        <v>56</v>
      </c>
      <c r="C12" s="19">
        <v>0.2</v>
      </c>
      <c r="D12" s="21" t="str">
        <f>TEXT(ROUND(((D$8-$C$8)*$C$4*$C12)/D$8, 2), "0.00")</f>
        <v>0.40</v>
      </c>
      <c r="E12" s="71">
        <f>ROUND(D12 * D$8, 2)</f>
        <v>50000</v>
      </c>
      <c r="F12" s="21" t="str">
        <f>TEXT(ROUND(((F$8-$C$8)*$C$4*$C12)/F$8, 2), "0.00")</f>
        <v>0.72</v>
      </c>
      <c r="G12" s="71">
        <f t="shared" ref="G12:G15" si="0">ROUND(F12 * F$8, 2)</f>
        <v>112500</v>
      </c>
      <c r="H12" s="21" t="str">
        <f>TEXT(ROUND(((H$8-$C$8)*$C$4*$C12)/H$8, 2), "0.00")</f>
        <v>0.98</v>
      </c>
      <c r="I12" s="71">
        <f t="shared" ref="I12:I15" si="1">ROUND(H12 * H$8, 2)</f>
        <v>191406.25</v>
      </c>
      <c r="J12" s="21" t="str">
        <f>TEXT(ROUND(((J$8-$C$8)*$C$4*$C12)/J$8, 2), "0.00")</f>
        <v>1.18</v>
      </c>
      <c r="K12" s="71">
        <f t="shared" ref="K12:K15" si="2">ROUND(J12 * J$8, 2)</f>
        <v>288085.94</v>
      </c>
      <c r="L12" s="21" t="str">
        <f>TEXT(ROUND(((L$8-$C$8)*$C$4*$C12)/L$8, 2), "0.00")</f>
        <v>1.34</v>
      </c>
      <c r="M12" s="71">
        <f t="shared" ref="M12:M15" si="3">ROUND(L12 * L$8, 2)</f>
        <v>408935.55</v>
      </c>
      <c r="N12" s="21" t="str">
        <f>TEXT(ROUND(((N$8-$C$8)*$C$4*$C12)/N$8, 2), "0.00")</f>
        <v>1.48</v>
      </c>
      <c r="O12" s="71">
        <f t="shared" ref="O12:O15" si="4">ROUND(N12 * N$8, 2)</f>
        <v>564575.19999999995</v>
      </c>
      <c r="P12" s="21" t="str">
        <f>TEXT(ROUND(((P$8-$C$8)*$C$4*$C12)/P$8, 2), "0.00")</f>
        <v>1.58</v>
      </c>
      <c r="Q12" s="71">
        <f t="shared" ref="Q12:Q15" si="5">ROUND(P12 * P$8, 2)</f>
        <v>753402.71</v>
      </c>
      <c r="R12" s="21" t="str">
        <f>TEXT(ROUND(((R$8-$C$8)*$C$4*$C12)/R$8, 2), "0.00")</f>
        <v>1.66</v>
      </c>
      <c r="S12" s="71">
        <f t="shared" ref="S12:S15" si="6">ROUND(R12 * R$8, 2)</f>
        <v>989437.1</v>
      </c>
      <c r="T12" s="21" t="str">
        <f>TEXT(ROUND(((T$8-$C$8)*$C$4*$C12)/T$8, 2), "0.00")</f>
        <v>1.73</v>
      </c>
      <c r="U12" s="71">
        <f t="shared" ref="U12:U15" si="7">ROUND(T12 * T$8, 2)</f>
        <v>1288950.44</v>
      </c>
      <c r="V12" s="21" t="str">
        <f>TEXT(ROUND(((V$8-$C$8)*$C$4*$C12)/V$8, 2), "0.00")</f>
        <v>1.79</v>
      </c>
      <c r="W12" s="71">
        <f t="shared" ref="W12:W15" si="8">ROUND(V12 * V$8, 2)</f>
        <v>1667067.41</v>
      </c>
      <c r="X12" s="2"/>
    </row>
    <row r="13" spans="1:25" ht="15.85" customHeight="1" thickTop="1" thickBot="1" x14ac:dyDescent="0.5">
      <c r="A13" s="4"/>
      <c r="B13" s="6" t="s">
        <v>1</v>
      </c>
      <c r="C13" s="19">
        <v>0.3</v>
      </c>
      <c r="D13" s="21" t="str">
        <f>TEXT(ROUND(((D$8-$C$8)*$C$4*$C13)/D$8, 2), "0.00")</f>
        <v>0.60</v>
      </c>
      <c r="E13" s="71">
        <f>ROUND(D13 * D$8, 2)</f>
        <v>75000</v>
      </c>
      <c r="F13" s="21" t="str">
        <f>TEXT(ROUND(((F$8-$C$8)*$C$4*$C13)/F$8, 2), "0.00")</f>
        <v>1.08</v>
      </c>
      <c r="G13" s="71">
        <f t="shared" si="0"/>
        <v>168750</v>
      </c>
      <c r="H13" s="21" t="str">
        <f>TEXT(ROUND(((H$8-$C$8)*$C$4*$C13)/H$8, 2), "0.00")</f>
        <v>1.46</v>
      </c>
      <c r="I13" s="71">
        <f t="shared" si="1"/>
        <v>285156.25</v>
      </c>
      <c r="J13" s="21" t="str">
        <f>TEXT(ROUND(((J$8-$C$8)*$C$4*$C13)/J$8, 2), "0.00")</f>
        <v>1.77</v>
      </c>
      <c r="K13" s="71">
        <f t="shared" si="2"/>
        <v>432128.91</v>
      </c>
      <c r="L13" s="21" t="str">
        <f>TEXT(ROUND(((L$8-$C$8)*$C$4*$C13)/L$8, 2), "0.00")</f>
        <v>2.02</v>
      </c>
      <c r="M13" s="71">
        <f t="shared" si="3"/>
        <v>616455.07999999996</v>
      </c>
      <c r="N13" s="21" t="str">
        <f>TEXT(ROUND(((N$8-$C$8)*$C$4*$C13)/N$8, 2), "0.00")</f>
        <v>2.21</v>
      </c>
      <c r="O13" s="71">
        <f t="shared" si="4"/>
        <v>843048.1</v>
      </c>
      <c r="P13" s="21" t="str">
        <f>TEXT(ROUND(((P$8-$C$8)*$C$4*$C13)/P$8, 2), "0.00")</f>
        <v>2.37</v>
      </c>
      <c r="Q13" s="71">
        <f t="shared" si="5"/>
        <v>1130104.06</v>
      </c>
      <c r="R13" s="21" t="str">
        <f>TEXT(ROUND(((R$8-$C$8)*$C$4*$C13)/R$8, 2), "0.00")</f>
        <v>2.50</v>
      </c>
      <c r="S13" s="71">
        <f t="shared" si="6"/>
        <v>1490116.12</v>
      </c>
      <c r="T13" s="21" t="str">
        <f>TEXT(ROUND(((T$8-$C$8)*$C$4*$C13)/T$8, 2), "0.00")</f>
        <v>2.60</v>
      </c>
      <c r="U13" s="71">
        <f t="shared" si="7"/>
        <v>1937150.96</v>
      </c>
      <c r="V13" s="21" t="str">
        <f>TEXT(ROUND(((V$8-$C$8)*$C$4*$C13)/V$8, 2), "0.00")</f>
        <v>2.68</v>
      </c>
      <c r="W13" s="71">
        <f t="shared" si="8"/>
        <v>2495944.5</v>
      </c>
      <c r="X13" s="2"/>
    </row>
    <row r="14" spans="1:25" ht="15.85" customHeight="1" thickTop="1" thickBot="1" x14ac:dyDescent="0.5">
      <c r="A14" s="4"/>
      <c r="B14" s="6" t="s">
        <v>2</v>
      </c>
      <c r="C14" s="19">
        <v>0.5</v>
      </c>
      <c r="D14" s="21" t="str">
        <f>TEXT(ROUND(((D$8-$C$8)*$C$4*$C14)/D$8, 2), "0.00")</f>
        <v>1.00</v>
      </c>
      <c r="E14" s="71">
        <f>ROUND(D14 * D$8, 2)</f>
        <v>125000</v>
      </c>
      <c r="F14" s="21" t="str">
        <f>TEXT(ROUND(((F$8-$C$8)*$C$4*$C14)/F$8, 2), "0.00")</f>
        <v>1.80</v>
      </c>
      <c r="G14" s="71">
        <f t="shared" si="0"/>
        <v>281250</v>
      </c>
      <c r="H14" s="21" t="str">
        <f>TEXT(ROUND(((H$8-$C$8)*$C$4*$C14)/H$8, 2), "0.00")</f>
        <v>2.44</v>
      </c>
      <c r="I14" s="71">
        <f t="shared" si="1"/>
        <v>476562.5</v>
      </c>
      <c r="J14" s="21" t="str">
        <f>TEXT(ROUND(((J$8-$C$8)*$C$4*$C14)/J$8, 2), "0.00")</f>
        <v>2.95</v>
      </c>
      <c r="K14" s="71">
        <f t="shared" si="2"/>
        <v>720214.84</v>
      </c>
      <c r="L14" s="21" t="str">
        <f>TEXT(ROUND(((L$8-$C$8)*$C$4*$C14)/L$8, 2), "0.00")</f>
        <v>3.36</v>
      </c>
      <c r="M14" s="71">
        <f t="shared" si="3"/>
        <v>1025390.63</v>
      </c>
      <c r="N14" s="21" t="str">
        <f>TEXT(ROUND(((N$8-$C$8)*$C$4*$C14)/N$8, 2), "0.00")</f>
        <v>3.69</v>
      </c>
      <c r="O14" s="71">
        <f t="shared" si="4"/>
        <v>1407623.29</v>
      </c>
      <c r="P14" s="21" t="str">
        <f>TEXT(ROUND(((P$8-$C$8)*$C$4*$C14)/P$8, 2), "0.00")</f>
        <v>3.95</v>
      </c>
      <c r="Q14" s="71">
        <f t="shared" si="5"/>
        <v>1883506.77</v>
      </c>
      <c r="R14" s="21" t="str">
        <f>TEXT(ROUND(((R$8-$C$8)*$C$4*$C14)/R$8, 2), "0.00")</f>
        <v>4.16</v>
      </c>
      <c r="S14" s="71">
        <f t="shared" si="6"/>
        <v>2479553.2200000002</v>
      </c>
      <c r="T14" s="21" t="str">
        <f>TEXT(ROUND(((T$8-$C$8)*$C$4*$C14)/T$8, 2), "0.00")</f>
        <v>4.33</v>
      </c>
      <c r="U14" s="71">
        <f t="shared" si="7"/>
        <v>3226101.4</v>
      </c>
      <c r="V14" s="21" t="str">
        <f>TEXT(ROUND(((V$8-$C$8)*$C$4*$C14)/V$8, 2), "0.00")</f>
        <v>4.46</v>
      </c>
      <c r="W14" s="71">
        <f t="shared" si="8"/>
        <v>4153698.68</v>
      </c>
      <c r="X14" s="2"/>
    </row>
    <row r="15" spans="1:25" ht="15.85" customHeight="1" thickTop="1" thickBot="1" x14ac:dyDescent="0.5">
      <c r="A15" s="4"/>
      <c r="B15" s="6" t="s">
        <v>0</v>
      </c>
      <c r="C15" s="19">
        <f>SUM(C12:C14)</f>
        <v>1</v>
      </c>
      <c r="D15" s="21" t="str">
        <f>TEXT(ROUND(((D$8-$C$8)*$C$4*$C15)/D$8, 2), "0.00")</f>
        <v>2.00</v>
      </c>
      <c r="E15" s="71">
        <f>ROUND(D15 * D$8, 2)</f>
        <v>250000</v>
      </c>
      <c r="F15" s="21" t="str">
        <f>TEXT(ROUND(((F$8-$C$8)*$C$4*$C15)/F$8, 2), "0.00")</f>
        <v>3.60</v>
      </c>
      <c r="G15" s="71">
        <f t="shared" si="0"/>
        <v>562500</v>
      </c>
      <c r="H15" s="21" t="str">
        <f>TEXT(ROUND(((H$8-$C$8)*$C$4*$C15)/H$8, 2), "0.00")</f>
        <v>4.88</v>
      </c>
      <c r="I15" s="71">
        <f t="shared" si="1"/>
        <v>953125</v>
      </c>
      <c r="J15" s="21" t="str">
        <f>TEXT(ROUND(((J$8-$C$8)*$C$4*$C15)/J$8, 2), "0.00")</f>
        <v>5.90</v>
      </c>
      <c r="K15" s="71">
        <f t="shared" si="2"/>
        <v>1440429.69</v>
      </c>
      <c r="L15" s="21" t="str">
        <f>TEXT(ROUND(((L$8-$C$8)*$C$4*$C15)/L$8, 2), "0.00")</f>
        <v>6.72</v>
      </c>
      <c r="M15" s="71">
        <f t="shared" si="3"/>
        <v>2050781.25</v>
      </c>
      <c r="N15" s="21" t="str">
        <f>TEXT(ROUND(((N$8-$C$8)*$C$4*$C15)/N$8, 2), "0.00")</f>
        <v>7.38</v>
      </c>
      <c r="O15" s="71">
        <f t="shared" si="4"/>
        <v>2815246.58</v>
      </c>
      <c r="P15" s="21" t="str">
        <f>TEXT(ROUND(((P$8-$C$8)*$C$4*$C15)/P$8, 2), "0.00")</f>
        <v>7.90</v>
      </c>
      <c r="Q15" s="71">
        <f t="shared" si="5"/>
        <v>3767013.55</v>
      </c>
      <c r="R15" s="21" t="str">
        <f>TEXT(ROUND(((R$8-$C$8)*$C$4*$C15)/R$8, 2), "0.00")</f>
        <v>8.32</v>
      </c>
      <c r="S15" s="71">
        <f t="shared" si="6"/>
        <v>4959106.45</v>
      </c>
      <c r="T15" s="21" t="str">
        <f>TEXT(ROUND(((T$8-$C$8)*$C$4*$C15)/T$8, 2), "0.00")</f>
        <v>8.66</v>
      </c>
      <c r="U15" s="71">
        <f t="shared" si="7"/>
        <v>6452202.7999999998</v>
      </c>
      <c r="V15" s="21" t="str">
        <f>TEXT(ROUND(((V$8-$C$8)*$C$4*$C15)/V$8, 2), "0.00")</f>
        <v>8.93</v>
      </c>
      <c r="W15" s="71">
        <f t="shared" si="8"/>
        <v>8316710.5899999999</v>
      </c>
      <c r="X15" s="2"/>
      <c r="Y15" s="9"/>
    </row>
    <row r="16" spans="1:25" ht="15.85" customHeight="1" thickTop="1" thickBot="1" x14ac:dyDescent="0.5">
      <c r="A16" s="4"/>
      <c r="B16" s="113" t="s">
        <v>40</v>
      </c>
      <c r="C16" s="113"/>
      <c r="D16" s="114" t="s">
        <v>16</v>
      </c>
      <c r="E16" s="114"/>
      <c r="F16" s="114"/>
      <c r="G16" s="114"/>
      <c r="H16" s="114"/>
      <c r="I16" s="114"/>
      <c r="J16" s="114"/>
      <c r="K16" s="114"/>
      <c r="L16" s="114"/>
      <c r="M16" s="114"/>
      <c r="N16" s="114" t="s">
        <v>42</v>
      </c>
      <c r="O16" s="114"/>
      <c r="P16" s="114"/>
      <c r="Q16" s="114"/>
      <c r="R16" s="114"/>
      <c r="S16" s="114"/>
      <c r="T16" s="114"/>
      <c r="U16" s="114"/>
      <c r="V16" s="114"/>
      <c r="W16" s="114"/>
      <c r="X16" s="12"/>
      <c r="Y16" s="8" t="s">
        <v>27</v>
      </c>
    </row>
    <row r="17" spans="1:25" ht="15.85" customHeight="1" thickTop="1" thickBot="1" x14ac:dyDescent="0.5">
      <c r="A17" s="4"/>
      <c r="B17" s="113"/>
      <c r="C17" s="113"/>
      <c r="D17" s="103" t="s">
        <v>26</v>
      </c>
      <c r="E17" s="103"/>
      <c r="F17" s="103" t="s">
        <v>18</v>
      </c>
      <c r="G17" s="103"/>
      <c r="H17" s="103" t="s">
        <v>19</v>
      </c>
      <c r="I17" s="103"/>
      <c r="J17" s="103" t="s">
        <v>20</v>
      </c>
      <c r="K17" s="103"/>
      <c r="L17" s="103" t="s">
        <v>21</v>
      </c>
      <c r="M17" s="103"/>
      <c r="N17" s="103" t="s">
        <v>26</v>
      </c>
      <c r="O17" s="103"/>
      <c r="P17" s="103" t="s">
        <v>18</v>
      </c>
      <c r="Q17" s="103"/>
      <c r="R17" s="103" t="s">
        <v>19</v>
      </c>
      <c r="S17" s="103"/>
      <c r="T17" s="103" t="s">
        <v>20</v>
      </c>
      <c r="U17" s="103"/>
      <c r="V17" s="103" t="s">
        <v>21</v>
      </c>
      <c r="W17" s="103"/>
      <c r="X17" s="12"/>
      <c r="Y17" s="112" t="s">
        <v>41</v>
      </c>
    </row>
    <row r="18" spans="1:25" ht="15.85" customHeight="1" thickTop="1" thickBot="1" x14ac:dyDescent="0.5">
      <c r="A18" s="4"/>
      <c r="B18" s="113"/>
      <c r="C18" s="113"/>
      <c r="D18" s="5" t="s">
        <v>14</v>
      </c>
      <c r="E18" s="5" t="s">
        <v>15</v>
      </c>
      <c r="F18" s="5" t="s">
        <v>14</v>
      </c>
      <c r="G18" s="5" t="s">
        <v>15</v>
      </c>
      <c r="H18" s="5" t="s">
        <v>14</v>
      </c>
      <c r="I18" s="5" t="s">
        <v>15</v>
      </c>
      <c r="J18" s="5" t="s">
        <v>14</v>
      </c>
      <c r="K18" s="5" t="s">
        <v>15</v>
      </c>
      <c r="L18" s="5" t="s">
        <v>14</v>
      </c>
      <c r="M18" s="5" t="s">
        <v>15</v>
      </c>
      <c r="N18" s="5" t="s">
        <v>14</v>
      </c>
      <c r="O18" s="5" t="s">
        <v>15</v>
      </c>
      <c r="P18" s="5" t="s">
        <v>14</v>
      </c>
      <c r="Q18" s="5" t="s">
        <v>15</v>
      </c>
      <c r="R18" s="5" t="s">
        <v>14</v>
      </c>
      <c r="S18" s="5" t="s">
        <v>15</v>
      </c>
      <c r="T18" s="5" t="s">
        <v>14</v>
      </c>
      <c r="U18" s="5" t="s">
        <v>15</v>
      </c>
      <c r="V18" s="5" t="s">
        <v>14</v>
      </c>
      <c r="W18" s="5" t="s">
        <v>15</v>
      </c>
      <c r="X18" s="12"/>
      <c r="Y18" s="112"/>
    </row>
    <row r="19" spans="1:25" ht="15.85" customHeight="1" thickTop="1" thickBot="1" x14ac:dyDescent="0.5">
      <c r="A19" s="4"/>
      <c r="B19" s="115" t="s">
        <v>56</v>
      </c>
      <c r="C19" s="115"/>
      <c r="D19" s="69" t="str">
        <f>TEXT(ROUND(L12/$C$4/5*100, 2), "0.00") &amp; "%"</f>
        <v>2.68%</v>
      </c>
      <c r="E19" s="70" t="str">
        <f>TEXT(ROUND(M12/$C$6/5*100, 2), "0.00") &amp; "%"</f>
        <v>8.18%</v>
      </c>
      <c r="F19" s="21">
        <f>ROUND($L12/5, 2)</f>
        <v>0.27</v>
      </c>
      <c r="G19" s="71">
        <f>$M12/5</f>
        <v>81787.11</v>
      </c>
      <c r="H19" s="21">
        <f>F19*10</f>
        <v>2.7</v>
      </c>
      <c r="I19" s="71">
        <f>G19*10</f>
        <v>817871.1</v>
      </c>
      <c r="J19" s="21">
        <f t="shared" ref="J19:M22" si="9">H19*10</f>
        <v>27</v>
      </c>
      <c r="K19" s="71">
        <f t="shared" si="9"/>
        <v>8178711</v>
      </c>
      <c r="L19" s="21">
        <f t="shared" si="9"/>
        <v>270</v>
      </c>
      <c r="M19" s="71">
        <f>K19*10</f>
        <v>81787110</v>
      </c>
      <c r="N19" s="69" t="str">
        <f>TEXT(ROUND((V12-L12)/$C$4/5*100, 2), "0.00") &amp; "%"</f>
        <v>0.90%</v>
      </c>
      <c r="O19" s="70" t="str">
        <f>TEXT(ROUND((W12-M12)/$C$6/5*100, 2), "0.00") &amp; "%"</f>
        <v>25.16%</v>
      </c>
      <c r="P19" s="21">
        <f>ROUND(($V12-$L12)/5, 2)</f>
        <v>0.09</v>
      </c>
      <c r="Q19" s="71">
        <f>ROUND(($W12-$M12)/5, 2)</f>
        <v>251626.37</v>
      </c>
      <c r="R19" s="21">
        <f>P19*10</f>
        <v>0.89999999999999991</v>
      </c>
      <c r="S19" s="71">
        <f>Q19*10</f>
        <v>2516263.7000000002</v>
      </c>
      <c r="T19" s="21">
        <f t="shared" ref="T19:W22" si="10">R19*10</f>
        <v>9</v>
      </c>
      <c r="U19" s="71">
        <f t="shared" si="10"/>
        <v>25162637</v>
      </c>
      <c r="V19" s="21">
        <f t="shared" si="10"/>
        <v>90</v>
      </c>
      <c r="W19" s="71">
        <f t="shared" si="10"/>
        <v>251626370</v>
      </c>
      <c r="X19" s="12"/>
      <c r="Y19" s="21" t="str">
        <f>TEXT(ROUND(V12/$C$4/10*100, 2), "0.00") &amp; "%"</f>
        <v>1.79%</v>
      </c>
    </row>
    <row r="20" spans="1:25" ht="15.85" customHeight="1" thickTop="1" thickBot="1" x14ac:dyDescent="0.5">
      <c r="A20" s="4"/>
      <c r="B20" s="115" t="s">
        <v>1</v>
      </c>
      <c r="C20" s="115"/>
      <c r="D20" s="69" t="str">
        <f>TEXT(ROUND(L13/$C$4/5*100, 2), "0.00") &amp; "%"</f>
        <v>4.04%</v>
      </c>
      <c r="E20" s="70" t="str">
        <f>TEXT(ROUND(M13/$C$6/5*100, 2), "0.00") &amp; "%"</f>
        <v>12.33%</v>
      </c>
      <c r="F20" s="21">
        <f t="shared" ref="F20:F22" si="11">ROUND($L13/5, 2)</f>
        <v>0.4</v>
      </c>
      <c r="G20" s="71">
        <f t="shared" ref="G20:G21" si="12">ROUND($M13/5, 2)</f>
        <v>123291.02</v>
      </c>
      <c r="H20" s="21">
        <f t="shared" ref="H20:I22" si="13">F20*10</f>
        <v>4</v>
      </c>
      <c r="I20" s="71">
        <f t="shared" si="13"/>
        <v>1232910.2</v>
      </c>
      <c r="J20" s="21">
        <f t="shared" si="9"/>
        <v>40</v>
      </c>
      <c r="K20" s="71">
        <f t="shared" si="9"/>
        <v>12329102</v>
      </c>
      <c r="L20" s="21">
        <f t="shared" si="9"/>
        <v>400</v>
      </c>
      <c r="M20" s="71">
        <f t="shared" si="9"/>
        <v>123291020</v>
      </c>
      <c r="N20" s="69" t="str">
        <f>TEXT(ROUND((V13-L13)/$C$4/5*100, 2), "0.00") &amp; "%"</f>
        <v>1.32%</v>
      </c>
      <c r="O20" s="70" t="str">
        <f>TEXT(ROUND((W13-M13)/$C$6/5*100, 2), "0.00") &amp; "%"</f>
        <v>37.59%</v>
      </c>
      <c r="P20" s="21">
        <f>ROUND(($V13-$L13)/5, 2)</f>
        <v>0.13</v>
      </c>
      <c r="Q20" s="71">
        <f>ROUND(($W13-$M13)/5, 2)</f>
        <v>375897.88</v>
      </c>
      <c r="R20" s="21">
        <f t="shared" ref="R20:S22" si="14">P20*10</f>
        <v>1.3</v>
      </c>
      <c r="S20" s="71">
        <f t="shared" si="14"/>
        <v>3758978.8</v>
      </c>
      <c r="T20" s="21">
        <f t="shared" si="10"/>
        <v>13</v>
      </c>
      <c r="U20" s="71">
        <f t="shared" si="10"/>
        <v>37589788</v>
      </c>
      <c r="V20" s="21">
        <f t="shared" si="10"/>
        <v>130</v>
      </c>
      <c r="W20" s="71">
        <f t="shared" si="10"/>
        <v>375897880</v>
      </c>
      <c r="X20" s="12"/>
      <c r="Y20" s="22" t="str">
        <f>TEXT(ROUND(W13/$C6/10*100, 2), "0.00") &amp; "%"</f>
        <v>24.96%</v>
      </c>
    </row>
    <row r="21" spans="1:25" ht="15.85" customHeight="1" thickTop="1" thickBot="1" x14ac:dyDescent="0.5">
      <c r="A21" s="4"/>
      <c r="B21" s="115" t="s">
        <v>2</v>
      </c>
      <c r="C21" s="115"/>
      <c r="D21" s="69" t="str">
        <f>TEXT(ROUND(L14/$C$4/5*100, 2), "0.00") &amp; "%"</f>
        <v>6.72%</v>
      </c>
      <c r="E21" s="70" t="str">
        <f>TEXT(ROUND(M14/$C$6/5*100, 2), "0.00") &amp; "%"</f>
        <v>20.51%</v>
      </c>
      <c r="F21" s="21">
        <f t="shared" si="11"/>
        <v>0.67</v>
      </c>
      <c r="G21" s="71">
        <f t="shared" si="12"/>
        <v>205078.13</v>
      </c>
      <c r="H21" s="21">
        <f t="shared" si="13"/>
        <v>6.7</v>
      </c>
      <c r="I21" s="71">
        <f t="shared" si="13"/>
        <v>2050781.3</v>
      </c>
      <c r="J21" s="21">
        <f t="shared" si="9"/>
        <v>67</v>
      </c>
      <c r="K21" s="71">
        <f t="shared" si="9"/>
        <v>20507813</v>
      </c>
      <c r="L21" s="21">
        <f t="shared" si="9"/>
        <v>670</v>
      </c>
      <c r="M21" s="71">
        <f t="shared" si="9"/>
        <v>205078130</v>
      </c>
      <c r="N21" s="69" t="str">
        <f>TEXT(ROUND((V14-L14)/$C$4/5*100, 2), "0.00") &amp; "%"</f>
        <v>2.20%</v>
      </c>
      <c r="O21" s="70" t="str">
        <f>TEXT(ROUND((W14-M14)/$C$6/5*100, 2), "0.00") &amp; "%"</f>
        <v>62.57%</v>
      </c>
      <c r="P21" s="21">
        <f>ROUND(($V14-$L14)/5, 2)</f>
        <v>0.22</v>
      </c>
      <c r="Q21" s="71">
        <f>ROUND(($W14-$M14)/5, 2)</f>
        <v>625661.61</v>
      </c>
      <c r="R21" s="21">
        <f t="shared" si="14"/>
        <v>2.2000000000000002</v>
      </c>
      <c r="S21" s="71">
        <f t="shared" si="14"/>
        <v>6256616.0999999996</v>
      </c>
      <c r="T21" s="21">
        <f t="shared" si="10"/>
        <v>22</v>
      </c>
      <c r="U21" s="71">
        <f t="shared" si="10"/>
        <v>62566161</v>
      </c>
      <c r="V21" s="21">
        <f t="shared" si="10"/>
        <v>220</v>
      </c>
      <c r="W21" s="71">
        <f t="shared" si="10"/>
        <v>625661610</v>
      </c>
      <c r="X21" s="12"/>
      <c r="Y21" s="21" t="str">
        <f>TEXT(ROUND(V14/$C$4/10*100, 2), "0.00") &amp; "%"</f>
        <v>4.46%</v>
      </c>
    </row>
    <row r="22" spans="1:25" ht="15.85" customHeight="1" thickTop="1" thickBot="1" x14ac:dyDescent="0.5">
      <c r="A22" s="4"/>
      <c r="B22" s="115" t="s">
        <v>0</v>
      </c>
      <c r="C22" s="115"/>
      <c r="D22" s="69" t="str">
        <f>TEXT(ROUND(L15/$C$4/5*100, 2), "0.00") &amp; "%"</f>
        <v>13.44%</v>
      </c>
      <c r="E22" s="70" t="str">
        <f>TEXT(ROUND(M15/$C$6/5*100, 2), "0.00") &amp; "%"</f>
        <v>41.02%</v>
      </c>
      <c r="F22" s="21">
        <f t="shared" si="11"/>
        <v>1.34</v>
      </c>
      <c r="G22" s="71">
        <f>ROUND($M15/5, 2)</f>
        <v>410156.25</v>
      </c>
      <c r="H22" s="21">
        <f t="shared" si="13"/>
        <v>13.4</v>
      </c>
      <c r="I22" s="71">
        <f t="shared" si="13"/>
        <v>4101562.5</v>
      </c>
      <c r="J22" s="21">
        <f t="shared" si="9"/>
        <v>134</v>
      </c>
      <c r="K22" s="71">
        <f t="shared" si="9"/>
        <v>41015625</v>
      </c>
      <c r="L22" s="21">
        <f t="shared" si="9"/>
        <v>1340</v>
      </c>
      <c r="M22" s="71">
        <f t="shared" si="9"/>
        <v>410156250</v>
      </c>
      <c r="N22" s="69" t="str">
        <f>TEXT(ROUND((V15-L15)/$C$4/5*100, 2), "0.00") &amp; "%"</f>
        <v>4.42%</v>
      </c>
      <c r="O22" s="70" t="str">
        <f>TEXT(ROUND((W15-M15)/$C$6/5*100, 2), "0.00") &amp; "%"</f>
        <v>125.32%</v>
      </c>
      <c r="P22" s="21">
        <f>ROUND(($V15-$L15)/5, 2)</f>
        <v>0.44</v>
      </c>
      <c r="Q22" s="71">
        <f>ROUND(($W15-$M15)/5, 2)</f>
        <v>1253185.8700000001</v>
      </c>
      <c r="R22" s="21">
        <f t="shared" si="14"/>
        <v>4.4000000000000004</v>
      </c>
      <c r="S22" s="71">
        <f t="shared" si="14"/>
        <v>12531858.700000001</v>
      </c>
      <c r="T22" s="21">
        <f t="shared" si="10"/>
        <v>44</v>
      </c>
      <c r="U22" s="71">
        <f t="shared" si="10"/>
        <v>125318587.00000001</v>
      </c>
      <c r="V22" s="21">
        <f t="shared" si="10"/>
        <v>440</v>
      </c>
      <c r="W22" s="71">
        <f t="shared" si="10"/>
        <v>1253185870.0000002</v>
      </c>
      <c r="X22" s="2"/>
      <c r="Y22" s="20"/>
    </row>
    <row r="23" spans="1:25" ht="15.85" customHeight="1" thickTop="1" thickBot="1" x14ac:dyDescent="0.5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5" ht="15.75" customHeight="1" thickTop="1" thickBot="1" x14ac:dyDescent="0.5">
      <c r="A24" s="4"/>
      <c r="B24" s="6" t="s">
        <v>24</v>
      </c>
      <c r="C24" s="7">
        <f>$C$4*C26</f>
        <v>9313225.7461547852</v>
      </c>
      <c r="D24" s="102" t="str">
        <f>"2035 - 2045 : "&amp;$C25*100&amp;"% " &amp; B25</f>
        <v>2035 - 2045 : 15% BTC 10Y CAGR</v>
      </c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2"/>
    </row>
    <row r="25" spans="1:25" ht="15.85" customHeight="1" thickTop="1" thickBot="1" x14ac:dyDescent="0.5">
      <c r="A25" s="4"/>
      <c r="B25" s="6" t="str">
        <f>$C$2 &amp; " 10Y CAGR"</f>
        <v>BTC 10Y CAGR</v>
      </c>
      <c r="C25" s="16">
        <v>0.15</v>
      </c>
      <c r="D25" s="103" t="s">
        <v>4</v>
      </c>
      <c r="E25" s="103"/>
      <c r="F25" s="103" t="s">
        <v>5</v>
      </c>
      <c r="G25" s="103"/>
      <c r="H25" s="103" t="s">
        <v>6</v>
      </c>
      <c r="I25" s="103"/>
      <c r="J25" s="103" t="s">
        <v>7</v>
      </c>
      <c r="K25" s="103"/>
      <c r="L25" s="103" t="s">
        <v>8</v>
      </c>
      <c r="M25" s="103"/>
      <c r="N25" s="103" t="s">
        <v>9</v>
      </c>
      <c r="O25" s="103"/>
      <c r="P25" s="103" t="s">
        <v>10</v>
      </c>
      <c r="Q25" s="103"/>
      <c r="R25" s="103" t="s">
        <v>11</v>
      </c>
      <c r="S25" s="103"/>
      <c r="T25" s="103" t="s">
        <v>12</v>
      </c>
      <c r="U25" s="103"/>
      <c r="V25" s="103" t="s">
        <v>13</v>
      </c>
      <c r="W25" s="103"/>
      <c r="X25" s="2"/>
    </row>
    <row r="26" spans="1:25" ht="15.85" customHeight="1" thickTop="1" thickBot="1" x14ac:dyDescent="0.5">
      <c r="A26" s="4"/>
      <c r="B26" s="6" t="str">
        <f>$C$2 &amp; " USD Value"</f>
        <v>BTC USD Value</v>
      </c>
      <c r="C26" s="7">
        <f>V8</f>
        <v>931322.57461547852</v>
      </c>
      <c r="D26" s="104">
        <f>C26*C25+C26</f>
        <v>1071020.9608078003</v>
      </c>
      <c r="E26" s="104"/>
      <c r="F26" s="104">
        <f>D26*C25+D26</f>
        <v>1231674.1049289703</v>
      </c>
      <c r="G26" s="104"/>
      <c r="H26" s="104">
        <f>F26*$C25+F26</f>
        <v>1416425.2206683159</v>
      </c>
      <c r="I26" s="104"/>
      <c r="J26" s="104">
        <f>H26*$C25+H26</f>
        <v>1628889.0037685633</v>
      </c>
      <c r="K26" s="104"/>
      <c r="L26" s="104">
        <f>J26*$C25+J26</f>
        <v>1873222.3543338478</v>
      </c>
      <c r="M26" s="104"/>
      <c r="N26" s="104">
        <f>L26*$C25+L26</f>
        <v>2154205.7074839249</v>
      </c>
      <c r="O26" s="104"/>
      <c r="P26" s="104">
        <f>N26*$C25+N26</f>
        <v>2477336.5636065137</v>
      </c>
      <c r="Q26" s="104"/>
      <c r="R26" s="104">
        <f>P26*$C25+P26</f>
        <v>2848937.0481474907</v>
      </c>
      <c r="S26" s="104"/>
      <c r="T26" s="104">
        <f>R26*$C25+R26</f>
        <v>3276277.6053696144</v>
      </c>
      <c r="U26" s="104"/>
      <c r="V26" s="104">
        <f>T26*$C25+T26</f>
        <v>3767719.2461750563</v>
      </c>
      <c r="W26" s="104"/>
      <c r="X26" s="2"/>
    </row>
    <row r="27" spans="1:25" ht="15.85" customHeight="1" thickTop="1" thickBot="1" x14ac:dyDescent="0.5">
      <c r="A27" s="4"/>
      <c r="B27" s="6" t="str">
        <f>$C$2 &amp; " USD Marketcap"</f>
        <v>BTC USD Marketcap</v>
      </c>
      <c r="C27" s="18">
        <f>C26*21000000</f>
        <v>19557774066925.047</v>
      </c>
      <c r="D27" s="105">
        <f>D26*21000000</f>
        <v>22491440176963.805</v>
      </c>
      <c r="E27" s="105"/>
      <c r="F27" s="105">
        <f>F26*21000000</f>
        <v>25865156203508.379</v>
      </c>
      <c r="G27" s="105"/>
      <c r="H27" s="105">
        <f>H26*21000000</f>
        <v>29744929634034.633</v>
      </c>
      <c r="I27" s="105"/>
      <c r="J27" s="105">
        <f>J26*21000000</f>
        <v>34206669079139.828</v>
      </c>
      <c r="K27" s="105"/>
      <c r="L27" s="105">
        <f>L26*21000000</f>
        <v>39337669441010.805</v>
      </c>
      <c r="M27" s="105"/>
      <c r="N27" s="105">
        <f>N26*21000000</f>
        <v>45238319857162.422</v>
      </c>
      <c r="O27" s="105"/>
      <c r="P27" s="105">
        <f>P26*21000000</f>
        <v>52024067835736.789</v>
      </c>
      <c r="Q27" s="105"/>
      <c r="R27" s="105">
        <f>R26*21000000</f>
        <v>59827678011097.305</v>
      </c>
      <c r="S27" s="105"/>
      <c r="T27" s="105">
        <f>T26*21000000</f>
        <v>68801829712761.906</v>
      </c>
      <c r="U27" s="105"/>
      <c r="V27" s="105">
        <f>V26*21000000</f>
        <v>79122104169676.188</v>
      </c>
      <c r="W27" s="105"/>
      <c r="X27" s="2"/>
    </row>
    <row r="28" spans="1:25" ht="15.75" customHeight="1" thickTop="1" x14ac:dyDescent="0.45">
      <c r="A28" s="4"/>
      <c r="B28" s="108" t="s">
        <v>17</v>
      </c>
      <c r="C28" s="110" t="s">
        <v>22</v>
      </c>
      <c r="D28" s="106" t="s">
        <v>14</v>
      </c>
      <c r="E28" s="106" t="s">
        <v>15</v>
      </c>
      <c r="F28" s="106" t="s">
        <v>14</v>
      </c>
      <c r="G28" s="106" t="s">
        <v>15</v>
      </c>
      <c r="H28" s="106" t="s">
        <v>14</v>
      </c>
      <c r="I28" s="106" t="s">
        <v>15</v>
      </c>
      <c r="J28" s="106" t="s">
        <v>14</v>
      </c>
      <c r="K28" s="106" t="s">
        <v>15</v>
      </c>
      <c r="L28" s="106" t="s">
        <v>14</v>
      </c>
      <c r="M28" s="106" t="s">
        <v>15</v>
      </c>
      <c r="N28" s="106" t="s">
        <v>14</v>
      </c>
      <c r="O28" s="106" t="s">
        <v>15</v>
      </c>
      <c r="P28" s="106" t="s">
        <v>14</v>
      </c>
      <c r="Q28" s="106" t="s">
        <v>15</v>
      </c>
      <c r="R28" s="106" t="s">
        <v>14</v>
      </c>
      <c r="S28" s="106" t="s">
        <v>15</v>
      </c>
      <c r="T28" s="106" t="s">
        <v>14</v>
      </c>
      <c r="U28" s="106" t="s">
        <v>15</v>
      </c>
      <c r="V28" s="106" t="s">
        <v>14</v>
      </c>
      <c r="W28" s="106" t="s">
        <v>15</v>
      </c>
      <c r="X28" s="2"/>
    </row>
    <row r="29" spans="1:25" ht="15.75" customHeight="1" thickBot="1" x14ac:dyDescent="0.5">
      <c r="A29" s="4"/>
      <c r="B29" s="109"/>
      <c r="C29" s="111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2"/>
    </row>
    <row r="30" spans="1:25" ht="15.85" customHeight="1" thickTop="1" thickBot="1" x14ac:dyDescent="0.5">
      <c r="A30" s="4"/>
      <c r="B30" s="6" t="s">
        <v>56</v>
      </c>
      <c r="C30" s="19">
        <v>0.2</v>
      </c>
      <c r="D30" s="21" t="str">
        <f>TEXT(ROUND(((D$26-$C$26)*$C$4*$C30)/D$26, 2), "0.00")</f>
        <v>0.26</v>
      </c>
      <c r="E30" s="71">
        <f>ROUND(D30 * D$26, 2)</f>
        <v>278465.45</v>
      </c>
      <c r="F30" s="21" t="str">
        <f>TEXT(ROUND(((F$26-$C$26)*$C$4*$C30)/F$26, 2), "0.00")</f>
        <v>0.49</v>
      </c>
      <c r="G30" s="71">
        <f t="shared" ref="G30" si="15">ROUND(F30 * F$26, 2)</f>
        <v>603520.31000000006</v>
      </c>
      <c r="H30" s="21" t="str">
        <f>TEXT(ROUND(((H$26-$C$26)*$C$4*$C30)/H$26, 2), "0.00")</f>
        <v>0.68</v>
      </c>
      <c r="I30" s="71">
        <f t="shared" ref="I30" si="16">ROUND(H30 * H$26, 2)</f>
        <v>963169.15</v>
      </c>
      <c r="J30" s="21" t="str">
        <f>TEXT(ROUND(((J$26-$C$26)*$C$4*$C30)/J$26, 2), "0.00")</f>
        <v>0.86</v>
      </c>
      <c r="K30" s="71">
        <f t="shared" ref="K30" si="17">ROUND(J30 * J$26, 2)</f>
        <v>1400844.54</v>
      </c>
      <c r="L30" s="21" t="str">
        <f>TEXT(ROUND(((L$26-$C$26)*$C$4*$C30)/L$26, 2), "0.00")</f>
        <v>1.01</v>
      </c>
      <c r="M30" s="71">
        <f t="shared" ref="M30" si="18">ROUND(L30 * L$26, 2)</f>
        <v>1891954.58</v>
      </c>
      <c r="N30" s="21" t="str">
        <f>TEXT(ROUND(((N$26-$C$26)*$C$4*$C30)/N$26, 2), "0.00")</f>
        <v>1.14</v>
      </c>
      <c r="O30" s="71">
        <f t="shared" ref="O30" si="19">ROUND(N30 * N$26, 2)</f>
        <v>2455794.5099999998</v>
      </c>
      <c r="P30" s="21" t="str">
        <f>TEXT(ROUND(((P$26-$C$26)*$C$4*$C30)/P$26, 2), "0.00")</f>
        <v>1.25</v>
      </c>
      <c r="Q30" s="71">
        <f t="shared" ref="Q30" si="20">ROUND(P30 * P$26, 2)</f>
        <v>3096670.7</v>
      </c>
      <c r="R30" s="21" t="str">
        <f>TEXT(ROUND(((R$26-$C$26)*$C$4*$C30)/R$26, 2), "0.00")</f>
        <v>1.35</v>
      </c>
      <c r="S30" s="71">
        <f t="shared" ref="S30" si="21">ROUND(R30 * R$26, 2)</f>
        <v>3846065.01</v>
      </c>
      <c r="T30" s="21" t="str">
        <f>TEXT(ROUND(((T$26-$C$26)*$C$4*$C30)/T$26, 2), "0.00")</f>
        <v>1.43</v>
      </c>
      <c r="U30" s="71">
        <f t="shared" ref="U30:W33" si="22">ROUND(T30 * T$26, 2)</f>
        <v>4685076.9800000004</v>
      </c>
      <c r="V30" s="21" t="str">
        <f>TEXT(ROUND(((V$26-$C$26)*$C$4*$C30)/V$26, 2), "0.00")</f>
        <v>1.51</v>
      </c>
      <c r="W30" s="71">
        <f t="shared" ref="W30" si="23">ROUND(V30 * V$26, 2)</f>
        <v>5689256.0599999996</v>
      </c>
      <c r="X30" s="2"/>
    </row>
    <row r="31" spans="1:25" ht="15.85" customHeight="1" thickTop="1" thickBot="1" x14ac:dyDescent="0.5">
      <c r="A31" s="4"/>
      <c r="B31" s="6" t="s">
        <v>1</v>
      </c>
      <c r="C31" s="19">
        <v>0.3</v>
      </c>
      <c r="D31" s="21" t="str">
        <f>TEXT(ROUND(((D$26-$C$26)*$C$4*$C31)/D$26, 2), "0.00")</f>
        <v>0.39</v>
      </c>
      <c r="E31" s="71">
        <f t="shared" ref="E31:S33" si="24">ROUND(D31 * D$26, 2)</f>
        <v>417698.17</v>
      </c>
      <c r="F31" s="21" t="str">
        <f>TEXT(ROUND(((F$26-$C$26)*$C$4*$C31)/F$26, 2), "0.00")</f>
        <v>0.73</v>
      </c>
      <c r="G31" s="71">
        <f t="shared" si="24"/>
        <v>899122.1</v>
      </c>
      <c r="H31" s="21" t="str">
        <f>TEXT(ROUND(((H$26-$C$26)*$C$4*$C31)/H$26, 2), "0.00")</f>
        <v>1.03</v>
      </c>
      <c r="I31" s="71">
        <f t="shared" si="24"/>
        <v>1458917.98</v>
      </c>
      <c r="J31" s="21" t="str">
        <f>TEXT(ROUND(((J$26-$C$26)*$C$4*$C31)/J$26, 2), "0.00")</f>
        <v>1.28</v>
      </c>
      <c r="K31" s="71">
        <f t="shared" si="24"/>
        <v>2084977.92</v>
      </c>
      <c r="L31" s="21" t="str">
        <f>TEXT(ROUND(((L$26-$C$26)*$C$4*$C31)/L$26, 2), "0.00")</f>
        <v>1.51</v>
      </c>
      <c r="M31" s="71">
        <f t="shared" si="24"/>
        <v>2828565.76</v>
      </c>
      <c r="N31" s="21" t="str">
        <f>TEXT(ROUND(((N$26-$C$26)*$C$4*$C31)/N$26, 2), "0.00")</f>
        <v>1.70</v>
      </c>
      <c r="O31" s="71">
        <f t="shared" si="24"/>
        <v>3662149.7</v>
      </c>
      <c r="P31" s="21" t="str">
        <f>TEXT(ROUND(((P$26-$C$26)*$C$4*$C31)/P$26, 2), "0.00")</f>
        <v>1.87</v>
      </c>
      <c r="Q31" s="71">
        <f t="shared" si="24"/>
        <v>4632619.37</v>
      </c>
      <c r="R31" s="21" t="str">
        <f>TEXT(ROUND(((R$26-$C$26)*$C$4*$C31)/R$26, 2), "0.00")</f>
        <v>2.02</v>
      </c>
      <c r="S31" s="71">
        <f t="shared" si="24"/>
        <v>5754852.8399999999</v>
      </c>
      <c r="T31" s="21" t="str">
        <f>TEXT(ROUND(((T$26-$C$26)*$C$4*$C31)/T$26, 2), "0.00")</f>
        <v>2.15</v>
      </c>
      <c r="U31" s="71">
        <f t="shared" si="22"/>
        <v>7043996.8499999996</v>
      </c>
      <c r="V31" s="21" t="str">
        <f>TEXT(ROUND(((V$26-$C$26)*$C$4*$C31)/V$26, 2), "0.00")</f>
        <v>2.26</v>
      </c>
      <c r="W31" s="71">
        <f t="shared" si="22"/>
        <v>8515045.5</v>
      </c>
      <c r="X31" s="2"/>
    </row>
    <row r="32" spans="1:25" ht="15.85" customHeight="1" thickTop="1" thickBot="1" x14ac:dyDescent="0.5">
      <c r="A32" s="4"/>
      <c r="B32" s="6" t="s">
        <v>2</v>
      </c>
      <c r="C32" s="19">
        <v>0.5</v>
      </c>
      <c r="D32" s="21" t="str">
        <f>TEXT(ROUND(((D$26-$C$26)*$C$4*$C32)/D$26, 2), "0.00")</f>
        <v>0.65</v>
      </c>
      <c r="E32" s="71">
        <f t="shared" si="24"/>
        <v>696163.62</v>
      </c>
      <c r="F32" s="21" t="str">
        <f>TEXT(ROUND(((F$26-$C$26)*$C$4*$C32)/F$26, 2), "0.00")</f>
        <v>1.22</v>
      </c>
      <c r="G32" s="71">
        <f t="shared" si="24"/>
        <v>1502642.41</v>
      </c>
      <c r="H32" s="21" t="str">
        <f>TEXT(ROUND(((H$26-$C$26)*$C$4*$C32)/H$26, 2), "0.00")</f>
        <v>1.71</v>
      </c>
      <c r="I32" s="71">
        <f t="shared" si="24"/>
        <v>2422087.13</v>
      </c>
      <c r="J32" s="21" t="str">
        <f>TEXT(ROUND(((J$26-$C$26)*$C$4*$C32)/J$26, 2), "0.00")</f>
        <v>2.14</v>
      </c>
      <c r="K32" s="71">
        <f t="shared" si="24"/>
        <v>3485822.47</v>
      </c>
      <c r="L32" s="21" t="str">
        <f>TEXT(ROUND(((L$26-$C$26)*$C$4*$C32)/L$26, 2), "0.00")</f>
        <v>2.51</v>
      </c>
      <c r="M32" s="71">
        <f t="shared" si="24"/>
        <v>4701788.1100000003</v>
      </c>
      <c r="N32" s="21" t="str">
        <f>TEXT(ROUND(((N$26-$C$26)*$C$4*$C32)/N$26, 2), "0.00")</f>
        <v>2.84</v>
      </c>
      <c r="O32" s="71">
        <f t="shared" si="24"/>
        <v>6117944.21</v>
      </c>
      <c r="P32" s="21" t="str">
        <f>TEXT(ROUND(((P$26-$C$26)*$C$4*$C32)/P$26, 2), "0.00")</f>
        <v>3.12</v>
      </c>
      <c r="Q32" s="71">
        <f t="shared" si="24"/>
        <v>7729290.0800000001</v>
      </c>
      <c r="R32" s="21" t="str">
        <f>TEXT(ROUND(((R$26-$C$26)*$C$4*$C32)/R$26, 2), "0.00")</f>
        <v>3.37</v>
      </c>
      <c r="S32" s="71">
        <f t="shared" si="24"/>
        <v>9600917.8499999996</v>
      </c>
      <c r="T32" s="21" t="str">
        <f>TEXT(ROUND(((T$26-$C$26)*$C$4*$C32)/T$26, 2), "0.00")</f>
        <v>3.58</v>
      </c>
      <c r="U32" s="71">
        <f t="shared" si="22"/>
        <v>11729073.83</v>
      </c>
      <c r="V32" s="21" t="str">
        <f>TEXT(ROUND(((V$26-$C$26)*$C$4*$C32)/V$26, 2), "0.00")</f>
        <v>3.76</v>
      </c>
      <c r="W32" s="71">
        <f t="shared" si="22"/>
        <v>14166624.369999999</v>
      </c>
      <c r="X32" s="2"/>
    </row>
    <row r="33" spans="1:25" ht="15.85" customHeight="1" thickTop="1" thickBot="1" x14ac:dyDescent="0.5">
      <c r="A33" s="4"/>
      <c r="B33" s="6" t="s">
        <v>0</v>
      </c>
      <c r="C33" s="19">
        <f>SUM(C30:C32)</f>
        <v>1</v>
      </c>
      <c r="D33" s="21" t="str">
        <f>TEXT(ROUND(((D$26-$C$26)*$C$4*$C33)/D$26, 2), "0.00")</f>
        <v>1.30</v>
      </c>
      <c r="E33" s="71">
        <f t="shared" si="24"/>
        <v>1392327.25</v>
      </c>
      <c r="F33" s="21" t="str">
        <f>TEXT(ROUND(((F$26-$C$26)*$C$4*$C33)/F$26, 2), "0.00")</f>
        <v>2.44</v>
      </c>
      <c r="G33" s="71">
        <f t="shared" si="24"/>
        <v>3005284.82</v>
      </c>
      <c r="H33" s="21" t="str">
        <f>TEXT(ROUND(((H$26-$C$26)*$C$4*$C33)/H$26, 2), "0.00")</f>
        <v>3.42</v>
      </c>
      <c r="I33" s="71">
        <f t="shared" si="24"/>
        <v>4844174.25</v>
      </c>
      <c r="J33" s="21" t="str">
        <f>TEXT(ROUND(((J$26-$C$26)*$C$4*$C33)/J$26, 2), "0.00")</f>
        <v>4.28</v>
      </c>
      <c r="K33" s="71">
        <f t="shared" si="24"/>
        <v>6971644.9400000004</v>
      </c>
      <c r="L33" s="21" t="str">
        <f>TEXT(ROUND(((L$26-$C$26)*$C$4*$C33)/L$26, 2), "0.00")</f>
        <v>5.03</v>
      </c>
      <c r="M33" s="71">
        <f t="shared" si="24"/>
        <v>9422308.4399999995</v>
      </c>
      <c r="N33" s="21" t="str">
        <f>TEXT(ROUND(((N$26-$C$26)*$C$4*$C33)/N$26, 2), "0.00")</f>
        <v>5.68</v>
      </c>
      <c r="O33" s="71">
        <f t="shared" si="24"/>
        <v>12235888.42</v>
      </c>
      <c r="P33" s="21" t="str">
        <f>TEXT(ROUND(((P$26-$C$26)*$C$4*$C33)/P$26, 2), "0.00")</f>
        <v>6.24</v>
      </c>
      <c r="Q33" s="71">
        <f t="shared" si="24"/>
        <v>15458580.16</v>
      </c>
      <c r="R33" s="21" t="str">
        <f>TEXT(ROUND(((R$26-$C$26)*$C$4*$C33)/R$26, 2), "0.00")</f>
        <v>6.73</v>
      </c>
      <c r="S33" s="71">
        <f t="shared" si="24"/>
        <v>19173346.329999998</v>
      </c>
      <c r="T33" s="21" t="str">
        <f>TEXT(ROUND(((T$26-$C$26)*$C$4*$C33)/T$26, 2), "0.00")</f>
        <v>7.16</v>
      </c>
      <c r="U33" s="71">
        <f t="shared" si="22"/>
        <v>23458147.649999999</v>
      </c>
      <c r="V33" s="21" t="str">
        <f>TEXT(ROUND(((V$26-$C$26)*$C$4*$C33)/V$26, 2), "0.00")</f>
        <v>7.53</v>
      </c>
      <c r="W33" s="71">
        <f t="shared" si="22"/>
        <v>28370925.920000002</v>
      </c>
      <c r="X33" s="2"/>
    </row>
    <row r="34" spans="1:25" ht="15.75" customHeight="1" thickTop="1" thickBot="1" x14ac:dyDescent="0.5">
      <c r="A34" s="4"/>
      <c r="B34" s="113" t="s">
        <v>40</v>
      </c>
      <c r="C34" s="113"/>
      <c r="D34" s="114" t="s">
        <v>23</v>
      </c>
      <c r="E34" s="114"/>
      <c r="F34" s="114"/>
      <c r="G34" s="114"/>
      <c r="H34" s="114"/>
      <c r="I34" s="114"/>
      <c r="J34" s="114"/>
      <c r="K34" s="114"/>
      <c r="L34" s="114"/>
      <c r="M34" s="114"/>
      <c r="N34" s="114" t="s">
        <v>43</v>
      </c>
      <c r="O34" s="114"/>
      <c r="P34" s="114"/>
      <c r="Q34" s="114"/>
      <c r="R34" s="114"/>
      <c r="S34" s="114"/>
      <c r="T34" s="114"/>
      <c r="U34" s="114"/>
      <c r="V34" s="114"/>
      <c r="W34" s="114"/>
      <c r="X34" s="2"/>
      <c r="Y34" s="8" t="s">
        <v>28</v>
      </c>
    </row>
    <row r="35" spans="1:25" ht="15.85" customHeight="1" thickTop="1" thickBot="1" x14ac:dyDescent="0.5">
      <c r="A35" s="4"/>
      <c r="B35" s="113"/>
      <c r="C35" s="113"/>
      <c r="D35" s="103" t="s">
        <v>26</v>
      </c>
      <c r="E35" s="103"/>
      <c r="F35" s="103" t="s">
        <v>18</v>
      </c>
      <c r="G35" s="103"/>
      <c r="H35" s="103" t="s">
        <v>19</v>
      </c>
      <c r="I35" s="103"/>
      <c r="J35" s="103" t="s">
        <v>20</v>
      </c>
      <c r="K35" s="103"/>
      <c r="L35" s="103" t="s">
        <v>21</v>
      </c>
      <c r="M35" s="103"/>
      <c r="N35" s="103" t="s">
        <v>26</v>
      </c>
      <c r="O35" s="103"/>
      <c r="P35" s="103" t="s">
        <v>18</v>
      </c>
      <c r="Q35" s="103"/>
      <c r="R35" s="103" t="s">
        <v>19</v>
      </c>
      <c r="S35" s="103"/>
      <c r="T35" s="103" t="s">
        <v>20</v>
      </c>
      <c r="U35" s="103"/>
      <c r="V35" s="103" t="s">
        <v>21</v>
      </c>
      <c r="W35" s="103"/>
      <c r="X35" s="2"/>
      <c r="Y35" s="112" t="s">
        <v>41</v>
      </c>
    </row>
    <row r="36" spans="1:25" ht="15.85" customHeight="1" thickTop="1" thickBot="1" x14ac:dyDescent="0.5">
      <c r="A36" s="4"/>
      <c r="B36" s="113"/>
      <c r="C36" s="113"/>
      <c r="D36" s="5" t="s">
        <v>14</v>
      </c>
      <c r="E36" s="5" t="s">
        <v>15</v>
      </c>
      <c r="F36" s="5" t="s">
        <v>14</v>
      </c>
      <c r="G36" s="5" t="s">
        <v>15</v>
      </c>
      <c r="H36" s="5" t="s">
        <v>14</v>
      </c>
      <c r="I36" s="5" t="s">
        <v>15</v>
      </c>
      <c r="J36" s="5" t="s">
        <v>14</v>
      </c>
      <c r="K36" s="5" t="s">
        <v>15</v>
      </c>
      <c r="L36" s="5" t="s">
        <v>14</v>
      </c>
      <c r="M36" s="5" t="s">
        <v>15</v>
      </c>
      <c r="N36" s="5" t="s">
        <v>14</v>
      </c>
      <c r="O36" s="5" t="s">
        <v>15</v>
      </c>
      <c r="P36" s="5" t="s">
        <v>14</v>
      </c>
      <c r="Q36" s="5" t="s">
        <v>15</v>
      </c>
      <c r="R36" s="5" t="s">
        <v>14</v>
      </c>
      <c r="S36" s="5" t="s">
        <v>15</v>
      </c>
      <c r="T36" s="5" t="s">
        <v>14</v>
      </c>
      <c r="U36" s="5" t="s">
        <v>15</v>
      </c>
      <c r="V36" s="5" t="s">
        <v>14</v>
      </c>
      <c r="W36" s="5" t="s">
        <v>15</v>
      </c>
      <c r="X36" s="2"/>
      <c r="Y36" s="112"/>
    </row>
    <row r="37" spans="1:25" ht="15.85" customHeight="1" thickTop="1" thickBot="1" x14ac:dyDescent="0.5">
      <c r="A37" s="4"/>
      <c r="B37" s="115" t="s">
        <v>56</v>
      </c>
      <c r="C37" s="115"/>
      <c r="D37" s="69" t="str">
        <f>TEXT(ROUND(L30/$C$4/5*100, 2), "0.00") &amp; "%"</f>
        <v>2.02%</v>
      </c>
      <c r="E37" s="70" t="str">
        <f>TEXT(ROUND(M30/$C$24/5*100, 2), "0.00") &amp; "%"</f>
        <v>4.06%</v>
      </c>
      <c r="F37" s="21">
        <f>ROUND($L30/5, 2)</f>
        <v>0.2</v>
      </c>
      <c r="G37" s="71">
        <f>$M30/5</f>
        <v>378390.91600000003</v>
      </c>
      <c r="H37" s="21">
        <f>F37*10</f>
        <v>2</v>
      </c>
      <c r="I37" s="71">
        <f>G37*10</f>
        <v>3783909.16</v>
      </c>
      <c r="J37" s="21">
        <f t="shared" ref="J37:M40" si="25">H37*10</f>
        <v>20</v>
      </c>
      <c r="K37" s="71">
        <f t="shared" si="25"/>
        <v>37839091.600000001</v>
      </c>
      <c r="L37" s="21">
        <f t="shared" si="25"/>
        <v>200</v>
      </c>
      <c r="M37" s="71">
        <f t="shared" si="25"/>
        <v>378390916</v>
      </c>
      <c r="N37" s="69" t="str">
        <f>TEXT(ROUND((V30-L30)/$C$4/5*100, 2), "0.00") &amp; "%"</f>
        <v>1.00%</v>
      </c>
      <c r="O37" s="70" t="str">
        <f>TEXT(ROUND((W30-M30)/$C$24/5*100, 2), "0.00") &amp; "%"</f>
        <v>8.15%</v>
      </c>
      <c r="P37" s="21">
        <f>ROUND(($V30-$L30)/5, 2)</f>
        <v>0.1</v>
      </c>
      <c r="Q37" s="71">
        <f>ROUND(($W30-$M30)/5, 2)</f>
        <v>759460.3</v>
      </c>
      <c r="R37" s="21">
        <f>P37*10</f>
        <v>1</v>
      </c>
      <c r="S37" s="71">
        <f>Q37*10</f>
        <v>7594603</v>
      </c>
      <c r="T37" s="21">
        <f t="shared" ref="T37:W40" si="26">R37*10</f>
        <v>10</v>
      </c>
      <c r="U37" s="71">
        <f t="shared" si="26"/>
        <v>75946030</v>
      </c>
      <c r="V37" s="21">
        <f t="shared" si="26"/>
        <v>100</v>
      </c>
      <c r="W37" s="71">
        <f t="shared" si="26"/>
        <v>759460300</v>
      </c>
      <c r="X37" s="2"/>
      <c r="Y37" s="21" t="str">
        <f>TEXT(ROUND(V30/$C$4/10*100, 2), "0.00") &amp; "%"</f>
        <v>1.51%</v>
      </c>
    </row>
    <row r="38" spans="1:25" ht="15.85" customHeight="1" thickTop="1" thickBot="1" x14ac:dyDescent="0.5">
      <c r="A38" s="4"/>
      <c r="B38" s="115" t="s">
        <v>1</v>
      </c>
      <c r="C38" s="115"/>
      <c r="D38" s="69" t="str">
        <f>TEXT(ROUND(L31/$C$4/5*100, 2), "0.00") &amp; "%"</f>
        <v>3.02%</v>
      </c>
      <c r="E38" s="70" t="str">
        <f>TEXT(ROUND(M31/$C$24/5*100, 2), "0.00") &amp; "%"</f>
        <v>6.07%</v>
      </c>
      <c r="F38" s="21">
        <f>ROUND($L31/5, 2)</f>
        <v>0.3</v>
      </c>
      <c r="G38" s="71">
        <f t="shared" ref="G38:G39" si="27">ROUND($M31/5, 2)</f>
        <v>565713.15</v>
      </c>
      <c r="H38" s="21">
        <f t="shared" ref="H38:I40" si="28">F38*10</f>
        <v>3</v>
      </c>
      <c r="I38" s="71">
        <f t="shared" si="28"/>
        <v>5657131.5</v>
      </c>
      <c r="J38" s="21">
        <f t="shared" si="25"/>
        <v>30</v>
      </c>
      <c r="K38" s="71">
        <f t="shared" si="25"/>
        <v>56571315</v>
      </c>
      <c r="L38" s="21">
        <f t="shared" si="25"/>
        <v>300</v>
      </c>
      <c r="M38" s="71">
        <f t="shared" si="25"/>
        <v>565713150</v>
      </c>
      <c r="N38" s="69" t="str">
        <f>TEXT(ROUND((V31-L31)/$C$4/5*100, 2), "0.00") &amp; "%"</f>
        <v>1.50%</v>
      </c>
      <c r="O38" s="70" t="str">
        <f t="shared" ref="O38:O40" si="29">TEXT(ROUND((W31-M31)/$C$24/5*100, 2), "0.00") &amp; "%"</f>
        <v>12.21%</v>
      </c>
      <c r="P38" s="21">
        <f>ROUND(($V31-$L31)/5, 2)</f>
        <v>0.15</v>
      </c>
      <c r="Q38" s="71">
        <f>ROUND(($W31-$M31)/5, 2)</f>
        <v>1137295.95</v>
      </c>
      <c r="R38" s="21">
        <f t="shared" ref="R38:S40" si="30">P38*10</f>
        <v>1.5</v>
      </c>
      <c r="S38" s="71">
        <f t="shared" si="30"/>
        <v>11372959.5</v>
      </c>
      <c r="T38" s="21">
        <f t="shared" si="26"/>
        <v>15</v>
      </c>
      <c r="U38" s="71">
        <f t="shared" si="26"/>
        <v>113729595</v>
      </c>
      <c r="V38" s="21">
        <f t="shared" si="26"/>
        <v>150</v>
      </c>
      <c r="W38" s="71">
        <f t="shared" si="26"/>
        <v>1137295950</v>
      </c>
      <c r="X38" s="2"/>
      <c r="Y38" s="22" t="str">
        <f>TEXT(ROUND(W31/$C24/10*100, 2), "0.00") &amp; "%"</f>
        <v>9.14%</v>
      </c>
    </row>
    <row r="39" spans="1:25" ht="15.85" customHeight="1" thickTop="1" thickBot="1" x14ac:dyDescent="0.5">
      <c r="B39" s="115" t="s">
        <v>2</v>
      </c>
      <c r="C39" s="115"/>
      <c r="D39" s="69" t="str">
        <f>TEXT(ROUND(L32/$C$4/5*100, 2), "0.00") &amp; "%"</f>
        <v>5.02%</v>
      </c>
      <c r="E39" s="70" t="str">
        <f t="shared" ref="E39:E40" si="31">TEXT(ROUND(M32/$C$24/5*100, 2), "0.00") &amp; "%"</f>
        <v>10.10%</v>
      </c>
      <c r="F39" s="21">
        <f>ROUND($L32/5, 2)</f>
        <v>0.5</v>
      </c>
      <c r="G39" s="71">
        <f t="shared" si="27"/>
        <v>940357.62</v>
      </c>
      <c r="H39" s="21">
        <f t="shared" si="28"/>
        <v>5</v>
      </c>
      <c r="I39" s="71">
        <f t="shared" si="28"/>
        <v>9403576.1999999993</v>
      </c>
      <c r="J39" s="21">
        <f t="shared" si="25"/>
        <v>50</v>
      </c>
      <c r="K39" s="71">
        <f t="shared" si="25"/>
        <v>94035762</v>
      </c>
      <c r="L39" s="21">
        <f t="shared" si="25"/>
        <v>500</v>
      </c>
      <c r="M39" s="71">
        <f t="shared" si="25"/>
        <v>940357620</v>
      </c>
      <c r="N39" s="69" t="str">
        <f>TEXT(ROUND((V32-L32)/$C$4/5*100, 2), "0.00") &amp; "%"</f>
        <v>2.50%</v>
      </c>
      <c r="O39" s="70" t="str">
        <f t="shared" si="29"/>
        <v>20.33%</v>
      </c>
      <c r="P39" s="21">
        <f>ROUND(($V32-$L32)/5, 2)</f>
        <v>0.25</v>
      </c>
      <c r="Q39" s="71">
        <f>ROUND(($W32-$M32)/5, 2)</f>
        <v>1892967.25</v>
      </c>
      <c r="R39" s="21">
        <f t="shared" si="30"/>
        <v>2.5</v>
      </c>
      <c r="S39" s="71">
        <f t="shared" si="30"/>
        <v>18929672.5</v>
      </c>
      <c r="T39" s="21">
        <f t="shared" si="26"/>
        <v>25</v>
      </c>
      <c r="U39" s="71">
        <f t="shared" si="26"/>
        <v>189296725</v>
      </c>
      <c r="V39" s="21">
        <f t="shared" si="26"/>
        <v>250</v>
      </c>
      <c r="W39" s="71">
        <f t="shared" si="26"/>
        <v>1892967250</v>
      </c>
      <c r="Y39" s="21" t="str">
        <f>TEXT(ROUND(V32/$C$4/10*100, 2), "0.00") &amp; "%"</f>
        <v>3.76%</v>
      </c>
    </row>
    <row r="40" spans="1:25" s="3" customFormat="1" ht="15.85" customHeight="1" thickTop="1" thickBot="1" x14ac:dyDescent="0.5">
      <c r="A40" s="1"/>
      <c r="B40" s="115" t="s">
        <v>0</v>
      </c>
      <c r="C40" s="115"/>
      <c r="D40" s="69" t="str">
        <f>TEXT(ROUND(L33/$C$4/5*100, 2), "0.00") &amp; "%"</f>
        <v>10.06%</v>
      </c>
      <c r="E40" s="70" t="str">
        <f t="shared" si="31"/>
        <v>20.23%</v>
      </c>
      <c r="F40" s="21">
        <f>ROUND($L33/5, 2)</f>
        <v>1.01</v>
      </c>
      <c r="G40" s="71">
        <f>ROUND($M33/5, 2)</f>
        <v>1884461.69</v>
      </c>
      <c r="H40" s="21">
        <f t="shared" si="28"/>
        <v>10.1</v>
      </c>
      <c r="I40" s="71">
        <f t="shared" si="28"/>
        <v>18844616.899999999</v>
      </c>
      <c r="J40" s="21">
        <f t="shared" si="25"/>
        <v>101</v>
      </c>
      <c r="K40" s="71">
        <f t="shared" si="25"/>
        <v>188446169</v>
      </c>
      <c r="L40" s="21">
        <f t="shared" si="25"/>
        <v>1010</v>
      </c>
      <c r="M40" s="71">
        <f t="shared" si="25"/>
        <v>1884461690</v>
      </c>
      <c r="N40" s="69" t="str">
        <f>TEXT(ROUND((V33-L33)/$C$4/5*100, 2), "0.00") &amp; "%"</f>
        <v>5.00%</v>
      </c>
      <c r="O40" s="70" t="str">
        <f t="shared" si="29"/>
        <v>40.69%</v>
      </c>
      <c r="P40" s="21">
        <f>ROUND(($V33-$L33)/5, 2)</f>
        <v>0.5</v>
      </c>
      <c r="Q40" s="71">
        <f>ROUND(($W33-$M33)/5, 2)</f>
        <v>3789723.5</v>
      </c>
      <c r="R40" s="21">
        <f t="shared" si="30"/>
        <v>5</v>
      </c>
      <c r="S40" s="71">
        <f t="shared" si="30"/>
        <v>37897235</v>
      </c>
      <c r="T40" s="21">
        <f t="shared" si="26"/>
        <v>50</v>
      </c>
      <c r="U40" s="71">
        <f t="shared" si="26"/>
        <v>378972350</v>
      </c>
      <c r="V40" s="21">
        <f t="shared" si="26"/>
        <v>500</v>
      </c>
      <c r="W40" s="71">
        <f t="shared" si="26"/>
        <v>3789723500</v>
      </c>
      <c r="X40" s="1"/>
    </row>
    <row r="41" spans="1:25" ht="15.85" customHeight="1" thickTop="1" x14ac:dyDescent="0.45"/>
  </sheetData>
  <mergeCells count="143">
    <mergeCell ref="B40:C40"/>
    <mergeCell ref="T35:U35"/>
    <mergeCell ref="V35:W35"/>
    <mergeCell ref="Y35:Y36"/>
    <mergeCell ref="B37:C37"/>
    <mergeCell ref="B38:C38"/>
    <mergeCell ref="B39:C39"/>
    <mergeCell ref="H35:I35"/>
    <mergeCell ref="J35:K35"/>
    <mergeCell ref="L35:M35"/>
    <mergeCell ref="N35:O35"/>
    <mergeCell ref="P35:Q35"/>
    <mergeCell ref="R35:S35"/>
    <mergeCell ref="B34:C36"/>
    <mergeCell ref="D34:M34"/>
    <mergeCell ref="N34:W34"/>
    <mergeCell ref="D35:E35"/>
    <mergeCell ref="F35:G35"/>
    <mergeCell ref="B28:B29"/>
    <mergeCell ref="C28:C29"/>
    <mergeCell ref="D28:D29"/>
    <mergeCell ref="E28:E29"/>
    <mergeCell ref="F28:F29"/>
    <mergeCell ref="S28:S29"/>
    <mergeCell ref="T28:T29"/>
    <mergeCell ref="U28:U29"/>
    <mergeCell ref="V28:V29"/>
    <mergeCell ref="M28:M29"/>
    <mergeCell ref="N28:N29"/>
    <mergeCell ref="O28:O29"/>
    <mergeCell ref="P28:P29"/>
    <mergeCell ref="Q28:Q29"/>
    <mergeCell ref="R28:R29"/>
    <mergeCell ref="G28:G29"/>
    <mergeCell ref="H28:H29"/>
    <mergeCell ref="I28:I29"/>
    <mergeCell ref="J28:J29"/>
    <mergeCell ref="K28:K29"/>
    <mergeCell ref="L28:L29"/>
    <mergeCell ref="R27:S27"/>
    <mergeCell ref="T27:U27"/>
    <mergeCell ref="V27:W27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W28:W29"/>
    <mergeCell ref="B19:C19"/>
    <mergeCell ref="B20:C20"/>
    <mergeCell ref="B21:C21"/>
    <mergeCell ref="B22:C22"/>
    <mergeCell ref="D24:W24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V26:W26"/>
    <mergeCell ref="D27:E27"/>
    <mergeCell ref="F27:G27"/>
    <mergeCell ref="H27:I27"/>
    <mergeCell ref="J27:K27"/>
    <mergeCell ref="L27:M27"/>
    <mergeCell ref="N27:O27"/>
    <mergeCell ref="P27:Q27"/>
    <mergeCell ref="N17:O17"/>
    <mergeCell ref="P17:Q17"/>
    <mergeCell ref="R17:S17"/>
    <mergeCell ref="T17:U17"/>
    <mergeCell ref="V17:W17"/>
    <mergeCell ref="Y17:Y18"/>
    <mergeCell ref="V10:V11"/>
    <mergeCell ref="W10:W11"/>
    <mergeCell ref="B16:C18"/>
    <mergeCell ref="D16:M16"/>
    <mergeCell ref="N16:W16"/>
    <mergeCell ref="D17:E17"/>
    <mergeCell ref="F17:G17"/>
    <mergeCell ref="H17:I17"/>
    <mergeCell ref="J17:K17"/>
    <mergeCell ref="L17:M17"/>
    <mergeCell ref="P10:P11"/>
    <mergeCell ref="Q10:Q11"/>
    <mergeCell ref="R10:R11"/>
    <mergeCell ref="S10:S11"/>
    <mergeCell ref="T10:T11"/>
    <mergeCell ref="U10:U11"/>
    <mergeCell ref="J10:J11"/>
    <mergeCell ref="K10:K11"/>
    <mergeCell ref="L10:L11"/>
    <mergeCell ref="M10:M11"/>
    <mergeCell ref="N10:N11"/>
    <mergeCell ref="O10:O11"/>
    <mergeCell ref="T9:U9"/>
    <mergeCell ref="V9:W9"/>
    <mergeCell ref="B10:B11"/>
    <mergeCell ref="C10:C11"/>
    <mergeCell ref="D10:D11"/>
    <mergeCell ref="E10:E11"/>
    <mergeCell ref="F10:F11"/>
    <mergeCell ref="G10:G11"/>
    <mergeCell ref="H10:H11"/>
    <mergeCell ref="I10:I11"/>
    <mergeCell ref="V8:W8"/>
    <mergeCell ref="D9:E9"/>
    <mergeCell ref="F9:G9"/>
    <mergeCell ref="H9:I9"/>
    <mergeCell ref="J9:K9"/>
    <mergeCell ref="L9:M9"/>
    <mergeCell ref="N9:O9"/>
    <mergeCell ref="P9:Q9"/>
    <mergeCell ref="R9:S9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D2:W4"/>
    <mergeCell ref="D6:W6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D9CB-7303-482B-97C9-03378B75117D}">
  <dimension ref="A1:Y41"/>
  <sheetViews>
    <sheetView topLeftCell="A7" zoomScaleNormal="100" workbookViewId="0">
      <selection activeCell="D2" sqref="D2:W4"/>
    </sheetView>
  </sheetViews>
  <sheetFormatPr defaultRowHeight="15.85" customHeight="1" x14ac:dyDescent="0.45"/>
  <cols>
    <col min="1" max="1" width="1.6640625" style="1" customWidth="1"/>
    <col min="2" max="2" width="27.59765625" style="1" customWidth="1"/>
    <col min="3" max="3" width="10" style="25" customWidth="1"/>
    <col min="4" max="23" width="9.6640625" style="1" customWidth="1"/>
    <col min="24" max="24" width="1.6640625" style="1" customWidth="1"/>
    <col min="25" max="25" width="14.46484375" style="1" customWidth="1"/>
    <col min="26" max="26" width="1.53125" style="1" customWidth="1"/>
    <col min="27" max="16384" width="9.06640625" style="1"/>
  </cols>
  <sheetData>
    <row r="1" spans="1:25" ht="9.4" customHeight="1" thickBot="1" x14ac:dyDescent="0.5">
      <c r="B1" s="9"/>
      <c r="C1" s="24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9"/>
      <c r="W1" s="9"/>
    </row>
    <row r="2" spans="1:25" ht="15.85" customHeight="1" thickTop="1" thickBot="1" x14ac:dyDescent="0.5">
      <c r="A2" s="4"/>
      <c r="B2" s="6" t="s">
        <v>29</v>
      </c>
      <c r="C2" s="11" t="s">
        <v>14</v>
      </c>
      <c r="D2" s="101" t="s">
        <v>55</v>
      </c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2"/>
      <c r="Y2" s="13">
        <v>45891</v>
      </c>
    </row>
    <row r="3" spans="1:25" ht="15.85" customHeight="1" thickTop="1" thickBot="1" x14ac:dyDescent="0.5">
      <c r="A3" s="4"/>
      <c r="B3" s="6" t="str">
        <f>"Stability Asset Fully Diluted Units"</f>
        <v>Stability Asset Fully Diluted Units</v>
      </c>
      <c r="C3" s="14">
        <v>21000000</v>
      </c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2"/>
      <c r="Y3" s="15" t="s">
        <v>25</v>
      </c>
    </row>
    <row r="4" spans="1:25" ht="15.85" customHeight="1" thickTop="1" thickBot="1" x14ac:dyDescent="0.5">
      <c r="A4" s="4"/>
      <c r="B4" s="6" t="s">
        <v>3</v>
      </c>
      <c r="C4" s="11">
        <v>10</v>
      </c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2"/>
      <c r="Y4" s="15"/>
    </row>
    <row r="5" spans="1:25" ht="15.85" customHeight="1" thickTop="1" thickBot="1" x14ac:dyDescent="0.5">
      <c r="A5" s="4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2"/>
    </row>
    <row r="6" spans="1:25" ht="15.75" customHeight="1" thickTop="1" thickBot="1" x14ac:dyDescent="0.5">
      <c r="A6" s="4"/>
      <c r="B6" s="6" t="s">
        <v>24</v>
      </c>
      <c r="C6" s="7">
        <f>$C$4*C8</f>
        <v>1000000</v>
      </c>
      <c r="D6" s="102" t="str">
        <f>"2025 - 2035 : "&amp;$C7*100&amp;"% " &amp; B7</f>
        <v>2025 - 2035 : 30% BTC 10Y CAGR</v>
      </c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2"/>
      <c r="Y6" s="23"/>
    </row>
    <row r="7" spans="1:25" ht="15.85" customHeight="1" thickTop="1" thickBot="1" x14ac:dyDescent="0.5">
      <c r="A7" s="4"/>
      <c r="B7" s="6" t="str">
        <f>$C$2 &amp; " 10Y CAGR"</f>
        <v>BTC 10Y CAGR</v>
      </c>
      <c r="C7" s="16">
        <v>0.3</v>
      </c>
      <c r="D7" s="103" t="s">
        <v>4</v>
      </c>
      <c r="E7" s="103"/>
      <c r="F7" s="103" t="s">
        <v>5</v>
      </c>
      <c r="G7" s="103"/>
      <c r="H7" s="103" t="s">
        <v>6</v>
      </c>
      <c r="I7" s="103"/>
      <c r="J7" s="103" t="s">
        <v>7</v>
      </c>
      <c r="K7" s="103"/>
      <c r="L7" s="103" t="s">
        <v>8</v>
      </c>
      <c r="M7" s="103"/>
      <c r="N7" s="103" t="s">
        <v>9</v>
      </c>
      <c r="O7" s="103"/>
      <c r="P7" s="103" t="s">
        <v>10</v>
      </c>
      <c r="Q7" s="103"/>
      <c r="R7" s="103" t="s">
        <v>11</v>
      </c>
      <c r="S7" s="103"/>
      <c r="T7" s="103" t="s">
        <v>12</v>
      </c>
      <c r="U7" s="103"/>
      <c r="V7" s="103" t="s">
        <v>13</v>
      </c>
      <c r="W7" s="103"/>
      <c r="X7" s="2"/>
      <c r="Y7" s="17"/>
    </row>
    <row r="8" spans="1:25" ht="15.85" customHeight="1" thickTop="1" thickBot="1" x14ac:dyDescent="0.5">
      <c r="A8" s="4"/>
      <c r="B8" s="6" t="str">
        <f>$C$2 &amp; " USD Value"</f>
        <v>BTC USD Value</v>
      </c>
      <c r="C8" s="7">
        <v>100000</v>
      </c>
      <c r="D8" s="104">
        <f>C8*C7+C8</f>
        <v>130000</v>
      </c>
      <c r="E8" s="104"/>
      <c r="F8" s="104">
        <f>D8*C7+D8</f>
        <v>169000</v>
      </c>
      <c r="G8" s="104"/>
      <c r="H8" s="104">
        <f>F8*C7+F8</f>
        <v>219700</v>
      </c>
      <c r="I8" s="104"/>
      <c r="J8" s="104">
        <f>H8*C7+H8</f>
        <v>285610</v>
      </c>
      <c r="K8" s="104"/>
      <c r="L8" s="104">
        <f>J8*C7+J8</f>
        <v>371293</v>
      </c>
      <c r="M8" s="104"/>
      <c r="N8" s="104">
        <f>L8*C7+L8</f>
        <v>482680.9</v>
      </c>
      <c r="O8" s="104"/>
      <c r="P8" s="104">
        <f>N8*C7+N8</f>
        <v>627485.17000000004</v>
      </c>
      <c r="Q8" s="104"/>
      <c r="R8" s="104">
        <f>P8*C7+P8</f>
        <v>815730.72100000002</v>
      </c>
      <c r="S8" s="104"/>
      <c r="T8" s="104">
        <f>R8*C7+R8</f>
        <v>1060449.9373000001</v>
      </c>
      <c r="U8" s="104"/>
      <c r="V8" s="104">
        <f>T8*C7+T8</f>
        <v>1378584.9184900001</v>
      </c>
      <c r="W8" s="104"/>
      <c r="X8" s="2"/>
    </row>
    <row r="9" spans="1:25" ht="15.85" customHeight="1" thickTop="1" thickBot="1" x14ac:dyDescent="0.5">
      <c r="A9" s="4"/>
      <c r="B9" s="6" t="str">
        <f>$C$2 &amp; " USD Marketcap"</f>
        <v>BTC USD Marketcap</v>
      </c>
      <c r="C9" s="18">
        <f>C8*$C$3</f>
        <v>2100000000000</v>
      </c>
      <c r="D9" s="105">
        <f>D8*$C$3</f>
        <v>2730000000000</v>
      </c>
      <c r="E9" s="105"/>
      <c r="F9" s="105">
        <f>F8*$C$3</f>
        <v>3549000000000</v>
      </c>
      <c r="G9" s="105"/>
      <c r="H9" s="105">
        <f>H8*$C$3</f>
        <v>4613700000000</v>
      </c>
      <c r="I9" s="105"/>
      <c r="J9" s="105">
        <f>J8*$C$3</f>
        <v>5997810000000</v>
      </c>
      <c r="K9" s="105"/>
      <c r="L9" s="105">
        <f>L8*$C$3</f>
        <v>7797153000000</v>
      </c>
      <c r="M9" s="105"/>
      <c r="N9" s="105">
        <f>N8*$C$3</f>
        <v>10136298900000</v>
      </c>
      <c r="O9" s="105"/>
      <c r="P9" s="105">
        <f>P8*$C$3</f>
        <v>13177188570000</v>
      </c>
      <c r="Q9" s="105"/>
      <c r="R9" s="105">
        <f>R8*$C$3</f>
        <v>17130345141000</v>
      </c>
      <c r="S9" s="105"/>
      <c r="T9" s="105">
        <f>T8*$C$3</f>
        <v>22269448683300.004</v>
      </c>
      <c r="U9" s="105"/>
      <c r="V9" s="105">
        <f>V8*$C$3</f>
        <v>28950283288290</v>
      </c>
      <c r="W9" s="105"/>
      <c r="X9" s="2"/>
    </row>
    <row r="10" spans="1:25" ht="15.85" customHeight="1" thickTop="1" x14ac:dyDescent="0.45">
      <c r="A10" s="4"/>
      <c r="B10" s="108" t="s">
        <v>17</v>
      </c>
      <c r="C10" s="110" t="s">
        <v>22</v>
      </c>
      <c r="D10" s="106" t="s">
        <v>14</v>
      </c>
      <c r="E10" s="106" t="s">
        <v>15</v>
      </c>
      <c r="F10" s="106" t="s">
        <v>14</v>
      </c>
      <c r="G10" s="106" t="s">
        <v>15</v>
      </c>
      <c r="H10" s="106" t="s">
        <v>14</v>
      </c>
      <c r="I10" s="106" t="s">
        <v>15</v>
      </c>
      <c r="J10" s="106" t="s">
        <v>14</v>
      </c>
      <c r="K10" s="106" t="s">
        <v>15</v>
      </c>
      <c r="L10" s="106" t="s">
        <v>14</v>
      </c>
      <c r="M10" s="106" t="s">
        <v>15</v>
      </c>
      <c r="N10" s="106" t="s">
        <v>14</v>
      </c>
      <c r="O10" s="106" t="s">
        <v>15</v>
      </c>
      <c r="P10" s="106" t="s">
        <v>14</v>
      </c>
      <c r="Q10" s="106" t="s">
        <v>15</v>
      </c>
      <c r="R10" s="106" t="s">
        <v>14</v>
      </c>
      <c r="S10" s="106" t="s">
        <v>15</v>
      </c>
      <c r="T10" s="106" t="s">
        <v>14</v>
      </c>
      <c r="U10" s="106" t="s">
        <v>15</v>
      </c>
      <c r="V10" s="106" t="s">
        <v>14</v>
      </c>
      <c r="W10" s="106" t="s">
        <v>15</v>
      </c>
      <c r="X10" s="2"/>
    </row>
    <row r="11" spans="1:25" ht="15.85" customHeight="1" thickBot="1" x14ac:dyDescent="0.5">
      <c r="A11" s="4"/>
      <c r="B11" s="109"/>
      <c r="C11" s="111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2"/>
    </row>
    <row r="12" spans="1:25" ht="15.85" customHeight="1" thickTop="1" thickBot="1" x14ac:dyDescent="0.5">
      <c r="A12" s="4"/>
      <c r="B12" s="6" t="s">
        <v>56</v>
      </c>
      <c r="C12" s="19">
        <v>0.2</v>
      </c>
      <c r="D12" s="21" t="str">
        <f>TEXT(ROUND(((D$8-$C$8)*$C$4*$C12)/D$8, 2), "0.00")</f>
        <v>0.46</v>
      </c>
      <c r="E12" s="71">
        <f>ROUND(D12 * D$8, 2)</f>
        <v>59800</v>
      </c>
      <c r="F12" s="21" t="str">
        <f>TEXT(ROUND(((F$8-$C$8)*$C$4*$C12)/F$8, 2), "0.00")</f>
        <v>0.82</v>
      </c>
      <c r="G12" s="71">
        <f t="shared" ref="G12" si="0">ROUND(F12 * F$8, 2)</f>
        <v>138580</v>
      </c>
      <c r="H12" s="21" t="str">
        <f>TEXT(ROUND(((H$8-$C$8)*$C$4*$C12)/H$8, 2), "0.00")</f>
        <v>1.09</v>
      </c>
      <c r="I12" s="71">
        <f t="shared" ref="I12" si="1">ROUND(H12 * H$8, 2)</f>
        <v>239473</v>
      </c>
      <c r="J12" s="21" t="str">
        <f>TEXT(ROUND(((J$8-$C$8)*$C$4*$C12)/J$8, 2), "0.00")</f>
        <v>1.30</v>
      </c>
      <c r="K12" s="71">
        <f t="shared" ref="K12" si="2">ROUND(J12 * J$8, 2)</f>
        <v>371293</v>
      </c>
      <c r="L12" s="21" t="str">
        <f>TEXT(ROUND(((L$8-$C$8)*$C$4*$C12)/L$8, 2), "0.00")</f>
        <v>1.46</v>
      </c>
      <c r="M12" s="71">
        <f t="shared" ref="M12" si="3">ROUND(L12 * L$8, 2)</f>
        <v>542087.78</v>
      </c>
      <c r="N12" s="21" t="str">
        <f>TEXT(ROUND(((N$8-$C$8)*$C$4*$C12)/N$8, 2), "0.00")</f>
        <v>1.59</v>
      </c>
      <c r="O12" s="71">
        <f t="shared" ref="O12" si="4">ROUND(N12 * N$8, 2)</f>
        <v>767462.63</v>
      </c>
      <c r="P12" s="21" t="str">
        <f>TEXT(ROUND(((P$8-$C$8)*$C$4*$C12)/P$8, 2), "0.00")</f>
        <v>1.68</v>
      </c>
      <c r="Q12" s="71">
        <f t="shared" ref="Q12" si="5">ROUND(P12 * P$8, 2)</f>
        <v>1054175.0900000001</v>
      </c>
      <c r="R12" s="21" t="str">
        <f>TEXT(ROUND(((R$8-$C$8)*$C$4*$C12)/R$8, 2), "0.00")</f>
        <v>1.75</v>
      </c>
      <c r="S12" s="71">
        <f t="shared" ref="S12" si="6">ROUND(R12 * R$8, 2)</f>
        <v>1427528.76</v>
      </c>
      <c r="T12" s="21" t="str">
        <f>TEXT(ROUND(((T$8-$C$8)*$C$4*$C12)/T$8, 2), "0.00")</f>
        <v>1.81</v>
      </c>
      <c r="U12" s="71">
        <f t="shared" ref="U12" si="7">ROUND(T12 * T$8, 2)</f>
        <v>1919414.39</v>
      </c>
      <c r="V12" s="21" t="str">
        <f>TEXT(ROUND(((V$8-$C$8)*$C$4*$C12)/V$8, 2), "0.00")</f>
        <v>1.85</v>
      </c>
      <c r="W12" s="71">
        <f t="shared" ref="W12" si="8">ROUND(V12 * V$8, 2)</f>
        <v>2550382.1</v>
      </c>
      <c r="X12" s="2"/>
    </row>
    <row r="13" spans="1:25" ht="15.85" customHeight="1" thickTop="1" thickBot="1" x14ac:dyDescent="0.5">
      <c r="A13" s="4"/>
      <c r="B13" s="6" t="s">
        <v>1</v>
      </c>
      <c r="C13" s="19">
        <v>0.3</v>
      </c>
      <c r="D13" s="21" t="str">
        <f>TEXT(ROUND(((D$8-$C$8)*$C$4*$C13)/D$8, 2), "0.00")</f>
        <v>0.69</v>
      </c>
      <c r="E13" s="71">
        <f>ROUND(D13 * D$8, 2)</f>
        <v>89700</v>
      </c>
      <c r="F13" s="21" t="str">
        <f>TEXT(ROUND(((F$8-$C$8)*$C$4*$C13)/F$8, 2), "0.00")</f>
        <v>1.22</v>
      </c>
      <c r="G13" s="71">
        <f t="shared" ref="G13" si="9">ROUND(F13 * F$8, 2)</f>
        <v>206180</v>
      </c>
      <c r="H13" s="21" t="str">
        <f>TEXT(ROUND(((H$8-$C$8)*$C$4*$C13)/H$8, 2), "0.00")</f>
        <v>1.63</v>
      </c>
      <c r="I13" s="71">
        <f t="shared" ref="I13" si="10">ROUND(H13 * H$8, 2)</f>
        <v>358111</v>
      </c>
      <c r="J13" s="21" t="str">
        <f>TEXT(ROUND(((J$8-$C$8)*$C$4*$C13)/J$8, 2), "0.00")</f>
        <v>1.95</v>
      </c>
      <c r="K13" s="71">
        <f t="shared" ref="K13" si="11">ROUND(J13 * J$8, 2)</f>
        <v>556939.5</v>
      </c>
      <c r="L13" s="21" t="str">
        <f>TEXT(ROUND(((L$8-$C$8)*$C$4*$C13)/L$8, 2), "0.00")</f>
        <v>2.19</v>
      </c>
      <c r="M13" s="71">
        <f t="shared" ref="M13" si="12">ROUND(L13 * L$8, 2)</f>
        <v>813131.67</v>
      </c>
      <c r="N13" s="21" t="str">
        <f>TEXT(ROUND(((N$8-$C$8)*$C$4*$C13)/N$8, 2), "0.00")</f>
        <v>2.38</v>
      </c>
      <c r="O13" s="71">
        <f t="shared" ref="O13" si="13">ROUND(N13 * N$8, 2)</f>
        <v>1148780.54</v>
      </c>
      <c r="P13" s="21" t="str">
        <f>TEXT(ROUND(((P$8-$C$8)*$C$4*$C13)/P$8, 2), "0.00")</f>
        <v>2.52</v>
      </c>
      <c r="Q13" s="71">
        <f t="shared" ref="Q13" si="14">ROUND(P13 * P$8, 2)</f>
        <v>1581262.63</v>
      </c>
      <c r="R13" s="21" t="str">
        <f>TEXT(ROUND(((R$8-$C$8)*$C$4*$C13)/R$8, 2), "0.00")</f>
        <v>2.63</v>
      </c>
      <c r="S13" s="71">
        <f t="shared" ref="S13" si="15">ROUND(R13 * R$8, 2)</f>
        <v>2145371.7999999998</v>
      </c>
      <c r="T13" s="21" t="str">
        <f>TEXT(ROUND(((T$8-$C$8)*$C$4*$C13)/T$8, 2), "0.00")</f>
        <v>2.72</v>
      </c>
      <c r="U13" s="71">
        <f t="shared" ref="U13" si="16">ROUND(T13 * T$8, 2)</f>
        <v>2884423.83</v>
      </c>
      <c r="V13" s="21" t="str">
        <f>TEXT(ROUND(((V$8-$C$8)*$C$4*$C13)/V$8, 2), "0.00")</f>
        <v>2.78</v>
      </c>
      <c r="W13" s="71">
        <f t="shared" ref="W13" si="17">ROUND(V13 * V$8, 2)</f>
        <v>3832466.07</v>
      </c>
      <c r="X13" s="2"/>
    </row>
    <row r="14" spans="1:25" ht="15.85" customHeight="1" thickTop="1" thickBot="1" x14ac:dyDescent="0.5">
      <c r="A14" s="4"/>
      <c r="B14" s="6" t="s">
        <v>2</v>
      </c>
      <c r="C14" s="19">
        <v>0.5</v>
      </c>
      <c r="D14" s="21" t="str">
        <f>TEXT(ROUND(((D$8-$C$8)*$C$4*$C14)/D$8, 2), "0.00")</f>
        <v>1.15</v>
      </c>
      <c r="E14" s="71">
        <f>ROUND(D14 * D$8, 2)</f>
        <v>149500</v>
      </c>
      <c r="F14" s="21" t="str">
        <f>TEXT(ROUND(((F$8-$C$8)*$C$4*$C14)/F$8, 2), "0.00")</f>
        <v>2.04</v>
      </c>
      <c r="G14" s="71">
        <f t="shared" ref="G14" si="18">ROUND(F14 * F$8, 2)</f>
        <v>344760</v>
      </c>
      <c r="H14" s="21" t="str">
        <f>TEXT(ROUND(((H$8-$C$8)*$C$4*$C14)/H$8, 2), "0.00")</f>
        <v>2.72</v>
      </c>
      <c r="I14" s="71">
        <f t="shared" ref="I14" si="19">ROUND(H14 * H$8, 2)</f>
        <v>597584</v>
      </c>
      <c r="J14" s="21" t="str">
        <f>TEXT(ROUND(((J$8-$C$8)*$C$4*$C14)/J$8, 2), "0.00")</f>
        <v>3.25</v>
      </c>
      <c r="K14" s="71">
        <f t="shared" ref="K14" si="20">ROUND(J14 * J$8, 2)</f>
        <v>928232.5</v>
      </c>
      <c r="L14" s="21" t="str">
        <f>TEXT(ROUND(((L$8-$C$8)*$C$4*$C14)/L$8, 2), "0.00")</f>
        <v>3.65</v>
      </c>
      <c r="M14" s="71">
        <f t="shared" ref="M14" si="21">ROUND(L14 * L$8, 2)</f>
        <v>1355219.45</v>
      </c>
      <c r="N14" s="21" t="str">
        <f>TEXT(ROUND(((N$8-$C$8)*$C$4*$C14)/N$8, 2), "0.00")</f>
        <v>3.96</v>
      </c>
      <c r="O14" s="71">
        <f t="shared" ref="O14" si="22">ROUND(N14 * N$8, 2)</f>
        <v>1911416.36</v>
      </c>
      <c r="P14" s="21" t="str">
        <f>TEXT(ROUND(((P$8-$C$8)*$C$4*$C14)/P$8, 2), "0.00")</f>
        <v>4.20</v>
      </c>
      <c r="Q14" s="71">
        <f t="shared" ref="Q14" si="23">ROUND(P14 * P$8, 2)</f>
        <v>2635437.71</v>
      </c>
      <c r="R14" s="21" t="str">
        <f>TEXT(ROUND(((R$8-$C$8)*$C$4*$C14)/R$8, 2), "0.00")</f>
        <v>4.39</v>
      </c>
      <c r="S14" s="71">
        <f t="shared" ref="S14" si="24">ROUND(R14 * R$8, 2)</f>
        <v>3581057.87</v>
      </c>
      <c r="T14" s="21" t="str">
        <f>TEXT(ROUND(((T$8-$C$8)*$C$4*$C14)/T$8, 2), "0.00")</f>
        <v>4.53</v>
      </c>
      <c r="U14" s="71">
        <f t="shared" ref="U14" si="25">ROUND(T14 * T$8, 2)</f>
        <v>4803838.22</v>
      </c>
      <c r="V14" s="21" t="str">
        <f>TEXT(ROUND(((V$8-$C$8)*$C$4*$C14)/V$8, 2), "0.00")</f>
        <v>4.64</v>
      </c>
      <c r="W14" s="71">
        <f t="shared" ref="W14" si="26">ROUND(V14 * V$8, 2)</f>
        <v>6396634.0199999996</v>
      </c>
      <c r="X14" s="2"/>
    </row>
    <row r="15" spans="1:25" ht="15.85" customHeight="1" thickTop="1" thickBot="1" x14ac:dyDescent="0.5">
      <c r="A15" s="4"/>
      <c r="B15" s="6" t="s">
        <v>0</v>
      </c>
      <c r="C15" s="19">
        <f>SUM(C12:C14)</f>
        <v>1</v>
      </c>
      <c r="D15" s="21" t="str">
        <f>TEXT(ROUND(((D$8-$C$8)*$C$4*$C15)/D$8, 2), "0.00")</f>
        <v>2.31</v>
      </c>
      <c r="E15" s="71">
        <f>ROUND(D15 * D$8, 2)</f>
        <v>300300</v>
      </c>
      <c r="F15" s="21" t="str">
        <f>TEXT(ROUND(((F$8-$C$8)*$C$4*$C15)/F$8, 2), "0.00")</f>
        <v>4.08</v>
      </c>
      <c r="G15" s="71">
        <f t="shared" ref="G15" si="27">ROUND(F15 * F$8, 2)</f>
        <v>689520</v>
      </c>
      <c r="H15" s="21" t="str">
        <f>TEXT(ROUND(((H$8-$C$8)*$C$4*$C15)/H$8, 2), "0.00")</f>
        <v>5.45</v>
      </c>
      <c r="I15" s="71">
        <f t="shared" ref="I15" si="28">ROUND(H15 * H$8, 2)</f>
        <v>1197365</v>
      </c>
      <c r="J15" s="21" t="str">
        <f>TEXT(ROUND(((J$8-$C$8)*$C$4*$C15)/J$8, 2), "0.00")</f>
        <v>6.50</v>
      </c>
      <c r="K15" s="71">
        <f t="shared" ref="K15" si="29">ROUND(J15 * J$8, 2)</f>
        <v>1856465</v>
      </c>
      <c r="L15" s="21" t="str">
        <f>TEXT(ROUND(((L$8-$C$8)*$C$4*$C15)/L$8, 2), "0.00")</f>
        <v>7.31</v>
      </c>
      <c r="M15" s="71">
        <f t="shared" ref="M15" si="30">ROUND(L15 * L$8, 2)</f>
        <v>2714151.83</v>
      </c>
      <c r="N15" s="21" t="str">
        <f>TEXT(ROUND(((N$8-$C$8)*$C$4*$C15)/N$8, 2), "0.00")</f>
        <v>7.93</v>
      </c>
      <c r="O15" s="71">
        <f t="shared" ref="O15" si="31">ROUND(N15 * N$8, 2)</f>
        <v>3827659.54</v>
      </c>
      <c r="P15" s="21" t="str">
        <f>TEXT(ROUND(((P$8-$C$8)*$C$4*$C15)/P$8, 2), "0.00")</f>
        <v>8.41</v>
      </c>
      <c r="Q15" s="71">
        <f t="shared" ref="Q15" si="32">ROUND(P15 * P$8, 2)</f>
        <v>5277150.28</v>
      </c>
      <c r="R15" s="21" t="str">
        <f>TEXT(ROUND(((R$8-$C$8)*$C$4*$C15)/R$8, 2), "0.00")</f>
        <v>8.77</v>
      </c>
      <c r="S15" s="71">
        <f t="shared" ref="S15" si="33">ROUND(R15 * R$8, 2)</f>
        <v>7153958.4199999999</v>
      </c>
      <c r="T15" s="21" t="str">
        <f>TEXT(ROUND(((T$8-$C$8)*$C$4*$C15)/T$8, 2), "0.00")</f>
        <v>9.06</v>
      </c>
      <c r="U15" s="71">
        <f t="shared" ref="U15" si="34">ROUND(T15 * T$8, 2)</f>
        <v>9607676.4299999997</v>
      </c>
      <c r="V15" s="21" t="str">
        <f>TEXT(ROUND(((V$8-$C$8)*$C$4*$C15)/V$8, 2), "0.00")</f>
        <v>9.27</v>
      </c>
      <c r="W15" s="71">
        <f t="shared" ref="W15" si="35">ROUND(V15 * V$8, 2)</f>
        <v>12779482.189999999</v>
      </c>
      <c r="X15" s="2"/>
      <c r="Y15" s="9"/>
    </row>
    <row r="16" spans="1:25" ht="15.85" customHeight="1" thickTop="1" thickBot="1" x14ac:dyDescent="0.5">
      <c r="A16" s="4"/>
      <c r="B16" s="113" t="s">
        <v>40</v>
      </c>
      <c r="C16" s="113"/>
      <c r="D16" s="114" t="s">
        <v>16</v>
      </c>
      <c r="E16" s="114"/>
      <c r="F16" s="114"/>
      <c r="G16" s="114"/>
      <c r="H16" s="114"/>
      <c r="I16" s="114"/>
      <c r="J16" s="114"/>
      <c r="K16" s="114"/>
      <c r="L16" s="114"/>
      <c r="M16" s="114"/>
      <c r="N16" s="114" t="s">
        <v>42</v>
      </c>
      <c r="O16" s="114"/>
      <c r="P16" s="114"/>
      <c r="Q16" s="114"/>
      <c r="R16" s="114"/>
      <c r="S16" s="114"/>
      <c r="T16" s="114"/>
      <c r="U16" s="114"/>
      <c r="V16" s="114"/>
      <c r="W16" s="114"/>
      <c r="X16" s="12"/>
      <c r="Y16" s="8" t="s">
        <v>27</v>
      </c>
    </row>
    <row r="17" spans="1:25" ht="15.85" customHeight="1" thickTop="1" thickBot="1" x14ac:dyDescent="0.5">
      <c r="A17" s="4"/>
      <c r="B17" s="113"/>
      <c r="C17" s="113"/>
      <c r="D17" s="103" t="s">
        <v>26</v>
      </c>
      <c r="E17" s="103"/>
      <c r="F17" s="103" t="s">
        <v>18</v>
      </c>
      <c r="G17" s="103"/>
      <c r="H17" s="103" t="s">
        <v>19</v>
      </c>
      <c r="I17" s="103"/>
      <c r="J17" s="103" t="s">
        <v>20</v>
      </c>
      <c r="K17" s="103"/>
      <c r="L17" s="103" t="s">
        <v>21</v>
      </c>
      <c r="M17" s="103"/>
      <c r="N17" s="103" t="s">
        <v>26</v>
      </c>
      <c r="O17" s="103"/>
      <c r="P17" s="103" t="s">
        <v>18</v>
      </c>
      <c r="Q17" s="103"/>
      <c r="R17" s="103" t="s">
        <v>19</v>
      </c>
      <c r="S17" s="103"/>
      <c r="T17" s="103" t="s">
        <v>20</v>
      </c>
      <c r="U17" s="103"/>
      <c r="V17" s="103" t="s">
        <v>21</v>
      </c>
      <c r="W17" s="103"/>
      <c r="X17" s="12"/>
      <c r="Y17" s="112" t="s">
        <v>41</v>
      </c>
    </row>
    <row r="18" spans="1:25" ht="15.85" customHeight="1" thickTop="1" thickBot="1" x14ac:dyDescent="0.5">
      <c r="A18" s="4"/>
      <c r="B18" s="113"/>
      <c r="C18" s="113"/>
      <c r="D18" s="5" t="s">
        <v>14</v>
      </c>
      <c r="E18" s="5" t="s">
        <v>15</v>
      </c>
      <c r="F18" s="5" t="s">
        <v>14</v>
      </c>
      <c r="G18" s="5" t="s">
        <v>15</v>
      </c>
      <c r="H18" s="5" t="s">
        <v>14</v>
      </c>
      <c r="I18" s="5" t="s">
        <v>15</v>
      </c>
      <c r="J18" s="5" t="s">
        <v>14</v>
      </c>
      <c r="K18" s="5" t="s">
        <v>15</v>
      </c>
      <c r="L18" s="5" t="s">
        <v>14</v>
      </c>
      <c r="M18" s="5" t="s">
        <v>15</v>
      </c>
      <c r="N18" s="5" t="s">
        <v>14</v>
      </c>
      <c r="O18" s="5" t="s">
        <v>15</v>
      </c>
      <c r="P18" s="5" t="s">
        <v>14</v>
      </c>
      <c r="Q18" s="5" t="s">
        <v>15</v>
      </c>
      <c r="R18" s="5" t="s">
        <v>14</v>
      </c>
      <c r="S18" s="5" t="s">
        <v>15</v>
      </c>
      <c r="T18" s="5" t="s">
        <v>14</v>
      </c>
      <c r="U18" s="5" t="s">
        <v>15</v>
      </c>
      <c r="V18" s="5" t="s">
        <v>14</v>
      </c>
      <c r="W18" s="5" t="s">
        <v>15</v>
      </c>
      <c r="X18" s="12"/>
      <c r="Y18" s="112"/>
    </row>
    <row r="19" spans="1:25" ht="15.85" customHeight="1" thickTop="1" thickBot="1" x14ac:dyDescent="0.5">
      <c r="A19" s="4"/>
      <c r="B19" s="116" t="s">
        <v>56</v>
      </c>
      <c r="C19" s="117"/>
      <c r="D19" s="69" t="str">
        <f>TEXT(ROUND(L12/$C$4/5*100, 2), "0.00") &amp; "%"</f>
        <v>2.92%</v>
      </c>
      <c r="E19" s="70" t="str">
        <f>TEXT(ROUND(M12/$C$6/5*100, 2), "0.00") &amp; "%"</f>
        <v>10.84%</v>
      </c>
      <c r="F19" s="21">
        <f>ROUND($L12/5, 2)</f>
        <v>0.28999999999999998</v>
      </c>
      <c r="G19" s="71">
        <f>$M12/5</f>
        <v>108417.55600000001</v>
      </c>
      <c r="H19" s="21">
        <f>F19*10</f>
        <v>2.9</v>
      </c>
      <c r="I19" s="71">
        <f>G19*10</f>
        <v>1084175.56</v>
      </c>
      <c r="J19" s="21">
        <f t="shared" ref="J19:M22" si="36">H19*10</f>
        <v>29</v>
      </c>
      <c r="K19" s="71">
        <f t="shared" si="36"/>
        <v>10841755.600000001</v>
      </c>
      <c r="L19" s="21">
        <f t="shared" si="36"/>
        <v>290</v>
      </c>
      <c r="M19" s="71">
        <f t="shared" si="36"/>
        <v>108417556.00000001</v>
      </c>
      <c r="N19" s="69" t="str">
        <f>TEXT(ROUND((V12-L12)/$C$4/5*100, 2), "0.00") &amp; "%"</f>
        <v>0.78%</v>
      </c>
      <c r="O19" s="70" t="str">
        <f>TEXT(ROUND((W12-M12)/$C$6/5*100, 2), "0.00") &amp; "%"</f>
        <v>40.17%</v>
      </c>
      <c r="P19" s="21">
        <f>ROUND(($V12-$L12)/5, 2)</f>
        <v>0.08</v>
      </c>
      <c r="Q19" s="71">
        <f>ROUND(($W12-$M12)/5, 2)</f>
        <v>401658.86</v>
      </c>
      <c r="R19" s="21">
        <f>P19*10</f>
        <v>0.8</v>
      </c>
      <c r="S19" s="71">
        <f>Q19*10</f>
        <v>4016588.5999999996</v>
      </c>
      <c r="T19" s="21">
        <f t="shared" ref="T19:W22" si="37">R19*10</f>
        <v>8</v>
      </c>
      <c r="U19" s="71">
        <f t="shared" si="37"/>
        <v>40165886</v>
      </c>
      <c r="V19" s="21">
        <f t="shared" si="37"/>
        <v>80</v>
      </c>
      <c r="W19" s="71">
        <f t="shared" si="37"/>
        <v>401658860</v>
      </c>
      <c r="X19" s="12"/>
      <c r="Y19" s="21" t="str">
        <f>TEXT(ROUND(V12/$C$4/10*100, 2), "0.00") &amp; "%"</f>
        <v>1.85%</v>
      </c>
    </row>
    <row r="20" spans="1:25" ht="15.85" customHeight="1" thickTop="1" thickBot="1" x14ac:dyDescent="0.5">
      <c r="A20" s="4"/>
      <c r="B20" s="115" t="s">
        <v>1</v>
      </c>
      <c r="C20" s="115"/>
      <c r="D20" s="69" t="str">
        <f>TEXT(ROUND(L13/$C$4/5*100, 2), "0.00") &amp; "%"</f>
        <v>4.38%</v>
      </c>
      <c r="E20" s="70" t="str">
        <f>TEXT(ROUND(M13/$C$6/5*100, 2), "0.00") &amp; "%"</f>
        <v>16.26%</v>
      </c>
      <c r="F20" s="21">
        <f t="shared" ref="F20:F22" si="38">ROUND($L13/5, 2)</f>
        <v>0.44</v>
      </c>
      <c r="G20" s="71">
        <f t="shared" ref="G20:G21" si="39">ROUND($M13/5, 2)</f>
        <v>162626.32999999999</v>
      </c>
      <c r="H20" s="21">
        <f t="shared" ref="H20:H22" si="40">F20*10</f>
        <v>4.4000000000000004</v>
      </c>
      <c r="I20" s="71">
        <f t="shared" ref="I20:I22" si="41">G20*10</f>
        <v>1626263.2999999998</v>
      </c>
      <c r="J20" s="21">
        <f t="shared" si="36"/>
        <v>44</v>
      </c>
      <c r="K20" s="71">
        <f t="shared" si="36"/>
        <v>16262632.999999998</v>
      </c>
      <c r="L20" s="21">
        <f t="shared" si="36"/>
        <v>440</v>
      </c>
      <c r="M20" s="71">
        <f t="shared" si="36"/>
        <v>162626329.99999997</v>
      </c>
      <c r="N20" s="69" t="str">
        <f>TEXT(ROUND((V13-L13)/$C$4/5*100, 2), "0.00") &amp; "%"</f>
        <v>1.18%</v>
      </c>
      <c r="O20" s="70" t="str">
        <f>TEXT(ROUND((W13-M13)/$C$6/5*100, 2), "0.00") &amp; "%"</f>
        <v>60.39%</v>
      </c>
      <c r="P20" s="21">
        <f>ROUND(($V13-$L13)/5, 2)</f>
        <v>0.12</v>
      </c>
      <c r="Q20" s="71">
        <f>ROUND(($W13-$M13)/5, 2)</f>
        <v>603866.88</v>
      </c>
      <c r="R20" s="21">
        <f t="shared" ref="R20:R22" si="42">P20*10</f>
        <v>1.2</v>
      </c>
      <c r="S20" s="71">
        <f t="shared" ref="S20:S22" si="43">Q20*10</f>
        <v>6038668.7999999998</v>
      </c>
      <c r="T20" s="21">
        <f t="shared" si="37"/>
        <v>12</v>
      </c>
      <c r="U20" s="71">
        <f t="shared" si="37"/>
        <v>60386688</v>
      </c>
      <c r="V20" s="21">
        <f t="shared" si="37"/>
        <v>120</v>
      </c>
      <c r="W20" s="71">
        <f t="shared" si="37"/>
        <v>603866880</v>
      </c>
      <c r="X20" s="12"/>
      <c r="Y20" s="22" t="str">
        <f>TEXT(ROUND(W13/$C6/10*100, 2), "0.00") &amp; "%"</f>
        <v>38.32%</v>
      </c>
    </row>
    <row r="21" spans="1:25" ht="15.85" customHeight="1" thickTop="1" thickBot="1" x14ac:dyDescent="0.5">
      <c r="A21" s="4"/>
      <c r="B21" s="115" t="s">
        <v>2</v>
      </c>
      <c r="C21" s="115"/>
      <c r="D21" s="69" t="str">
        <f>TEXT(ROUND(L14/$C$4/5*100, 2), "0.00") &amp; "%"</f>
        <v>7.30%</v>
      </c>
      <c r="E21" s="70" t="str">
        <f>TEXT(ROUND(M14/$C$6/5*100, 2), "0.00") &amp; "%"</f>
        <v>27.10%</v>
      </c>
      <c r="F21" s="21">
        <f t="shared" si="38"/>
        <v>0.73</v>
      </c>
      <c r="G21" s="71">
        <f t="shared" si="39"/>
        <v>271043.89</v>
      </c>
      <c r="H21" s="21">
        <f t="shared" si="40"/>
        <v>7.3</v>
      </c>
      <c r="I21" s="71">
        <f t="shared" si="41"/>
        <v>2710438.9000000004</v>
      </c>
      <c r="J21" s="21">
        <f t="shared" si="36"/>
        <v>73</v>
      </c>
      <c r="K21" s="71">
        <f t="shared" si="36"/>
        <v>27104389.000000004</v>
      </c>
      <c r="L21" s="21">
        <f t="shared" si="36"/>
        <v>730</v>
      </c>
      <c r="M21" s="71">
        <f t="shared" si="36"/>
        <v>271043890.00000006</v>
      </c>
      <c r="N21" s="69" t="str">
        <f>TEXT(ROUND((V14-L14)/$C$4/5*100, 2), "0.00") &amp; "%"</f>
        <v>1.98%</v>
      </c>
      <c r="O21" s="70" t="str">
        <f>TEXT(ROUND((W14-M14)/$C$6/5*100, 2), "0.00") &amp; "%"</f>
        <v>100.83%</v>
      </c>
      <c r="P21" s="21">
        <f>ROUND(($V14-$L14)/5, 2)</f>
        <v>0.2</v>
      </c>
      <c r="Q21" s="71">
        <f>ROUND(($W14-$M14)/5, 2)</f>
        <v>1008282.91</v>
      </c>
      <c r="R21" s="21">
        <f t="shared" si="42"/>
        <v>2</v>
      </c>
      <c r="S21" s="71">
        <f t="shared" si="43"/>
        <v>10082829.1</v>
      </c>
      <c r="T21" s="21">
        <f t="shared" si="37"/>
        <v>20</v>
      </c>
      <c r="U21" s="71">
        <f t="shared" si="37"/>
        <v>100828291</v>
      </c>
      <c r="V21" s="21">
        <f t="shared" si="37"/>
        <v>200</v>
      </c>
      <c r="W21" s="71">
        <f t="shared" si="37"/>
        <v>1008282910</v>
      </c>
      <c r="X21" s="12"/>
      <c r="Y21" s="21" t="str">
        <f>TEXT(ROUND(V14/$C$4/10*100, 2), "0.00") &amp; "%"</f>
        <v>4.64%</v>
      </c>
    </row>
    <row r="22" spans="1:25" ht="15.85" customHeight="1" thickTop="1" thickBot="1" x14ac:dyDescent="0.5">
      <c r="A22" s="4"/>
      <c r="B22" s="115" t="s">
        <v>0</v>
      </c>
      <c r="C22" s="115"/>
      <c r="D22" s="69" t="str">
        <f>TEXT(ROUND(L15/$C$4/5*100, 2), "0.00") &amp; "%"</f>
        <v>14.62%</v>
      </c>
      <c r="E22" s="70" t="str">
        <f>TEXT(ROUND(M15/$C$6/5*100, 2), "0.00") &amp; "%"</f>
        <v>54.28%</v>
      </c>
      <c r="F22" s="21">
        <f t="shared" si="38"/>
        <v>1.46</v>
      </c>
      <c r="G22" s="71">
        <f>ROUND($M15/5, 2)</f>
        <v>542830.37</v>
      </c>
      <c r="H22" s="21">
        <f t="shared" si="40"/>
        <v>14.6</v>
      </c>
      <c r="I22" s="71">
        <f t="shared" si="41"/>
        <v>5428303.7000000002</v>
      </c>
      <c r="J22" s="21">
        <f t="shared" si="36"/>
        <v>146</v>
      </c>
      <c r="K22" s="71">
        <f t="shared" si="36"/>
        <v>54283037</v>
      </c>
      <c r="L22" s="21">
        <f t="shared" si="36"/>
        <v>1460</v>
      </c>
      <c r="M22" s="71">
        <f t="shared" si="36"/>
        <v>542830370</v>
      </c>
      <c r="N22" s="69" t="str">
        <f>TEXT(ROUND((V15-L15)/$C$4/5*100, 2), "0.00") &amp; "%"</f>
        <v>3.92%</v>
      </c>
      <c r="O22" s="70" t="str">
        <f>TEXT(ROUND((W15-M15)/$C$6/5*100, 2), "0.00") &amp; "%"</f>
        <v>201.31%</v>
      </c>
      <c r="P22" s="21">
        <f>ROUND(($V15-$L15)/5, 2)</f>
        <v>0.39</v>
      </c>
      <c r="Q22" s="71">
        <f>ROUND(($W15-$M15)/5, 2)</f>
        <v>2013066.07</v>
      </c>
      <c r="R22" s="21">
        <f t="shared" si="42"/>
        <v>3.9000000000000004</v>
      </c>
      <c r="S22" s="71">
        <f t="shared" si="43"/>
        <v>20130660.699999999</v>
      </c>
      <c r="T22" s="21">
        <f t="shared" si="37"/>
        <v>39</v>
      </c>
      <c r="U22" s="71">
        <f t="shared" si="37"/>
        <v>201306607</v>
      </c>
      <c r="V22" s="21">
        <f t="shared" si="37"/>
        <v>390</v>
      </c>
      <c r="W22" s="71">
        <f t="shared" si="37"/>
        <v>2013066070</v>
      </c>
      <c r="X22" s="2"/>
      <c r="Y22" s="20"/>
    </row>
    <row r="23" spans="1:25" ht="15.85" customHeight="1" thickTop="1" thickBot="1" x14ac:dyDescent="0.5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5" ht="15.75" customHeight="1" thickTop="1" thickBot="1" x14ac:dyDescent="0.5">
      <c r="A24" s="4"/>
      <c r="B24" s="6" t="s">
        <v>24</v>
      </c>
      <c r="C24" s="7">
        <f>$C$4*C26</f>
        <v>13785849.184900001</v>
      </c>
      <c r="D24" s="102" t="str">
        <f>"2035 - 2045 : "&amp;$C25*100&amp;"% " &amp; B25</f>
        <v>2035 - 2045 : 20% BTC 10Y CAGR</v>
      </c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2"/>
    </row>
    <row r="25" spans="1:25" ht="15.85" customHeight="1" thickTop="1" thickBot="1" x14ac:dyDescent="0.5">
      <c r="A25" s="4"/>
      <c r="B25" s="6" t="str">
        <f>$C$2 &amp; " 10Y CAGR"</f>
        <v>BTC 10Y CAGR</v>
      </c>
      <c r="C25" s="16">
        <v>0.2</v>
      </c>
      <c r="D25" s="103" t="s">
        <v>4</v>
      </c>
      <c r="E25" s="103"/>
      <c r="F25" s="103" t="s">
        <v>5</v>
      </c>
      <c r="G25" s="103"/>
      <c r="H25" s="103" t="s">
        <v>6</v>
      </c>
      <c r="I25" s="103"/>
      <c r="J25" s="103" t="s">
        <v>7</v>
      </c>
      <c r="K25" s="103"/>
      <c r="L25" s="103" t="s">
        <v>8</v>
      </c>
      <c r="M25" s="103"/>
      <c r="N25" s="103" t="s">
        <v>9</v>
      </c>
      <c r="O25" s="103"/>
      <c r="P25" s="103" t="s">
        <v>10</v>
      </c>
      <c r="Q25" s="103"/>
      <c r="R25" s="103" t="s">
        <v>11</v>
      </c>
      <c r="S25" s="103"/>
      <c r="T25" s="103" t="s">
        <v>12</v>
      </c>
      <c r="U25" s="103"/>
      <c r="V25" s="103" t="s">
        <v>13</v>
      </c>
      <c r="W25" s="103"/>
      <c r="X25" s="2"/>
    </row>
    <row r="26" spans="1:25" ht="15.85" customHeight="1" thickTop="1" thickBot="1" x14ac:dyDescent="0.5">
      <c r="A26" s="4"/>
      <c r="B26" s="6" t="str">
        <f>$C$2 &amp; " USD Value"</f>
        <v>BTC USD Value</v>
      </c>
      <c r="C26" s="7">
        <f>V8</f>
        <v>1378584.9184900001</v>
      </c>
      <c r="D26" s="104">
        <f>C26*C25+C26</f>
        <v>1654301.902188</v>
      </c>
      <c r="E26" s="104"/>
      <c r="F26" s="104">
        <f>D26*C25+D26</f>
        <v>1985162.2826256</v>
      </c>
      <c r="G26" s="104"/>
      <c r="H26" s="104">
        <f>F26*$C25+F26</f>
        <v>2382194.7391507202</v>
      </c>
      <c r="I26" s="104"/>
      <c r="J26" s="104">
        <f>H26*$C25+H26</f>
        <v>2858633.686980864</v>
      </c>
      <c r="K26" s="104"/>
      <c r="L26" s="104">
        <f>J26*$C25+J26</f>
        <v>3430360.4243770367</v>
      </c>
      <c r="M26" s="104"/>
      <c r="N26" s="104">
        <f>L26*$C25+L26</f>
        <v>4116432.5092524439</v>
      </c>
      <c r="O26" s="104"/>
      <c r="P26" s="104">
        <f>N26*$C25+N26</f>
        <v>4939719.0111029325</v>
      </c>
      <c r="Q26" s="104"/>
      <c r="R26" s="104">
        <f>P26*$C25+P26</f>
        <v>5927662.8133235192</v>
      </c>
      <c r="S26" s="104"/>
      <c r="T26" s="104">
        <f>R26*$C25+R26</f>
        <v>7113195.3759882227</v>
      </c>
      <c r="U26" s="104"/>
      <c r="V26" s="104">
        <f>T26*$C25+T26</f>
        <v>8535834.4511858672</v>
      </c>
      <c r="W26" s="104"/>
      <c r="X26" s="2"/>
    </row>
    <row r="27" spans="1:25" ht="15.85" customHeight="1" thickTop="1" thickBot="1" x14ac:dyDescent="0.5">
      <c r="A27" s="4"/>
      <c r="B27" s="6" t="str">
        <f>$C$2 &amp; " USD Marketcap"</f>
        <v>BTC USD Marketcap</v>
      </c>
      <c r="C27" s="18">
        <f>C26*21000000</f>
        <v>28950283288290</v>
      </c>
      <c r="D27" s="105">
        <f>D26*21000000</f>
        <v>34740339945948</v>
      </c>
      <c r="E27" s="105"/>
      <c r="F27" s="105">
        <f>F26*21000000</f>
        <v>41688407935137.602</v>
      </c>
      <c r="G27" s="105"/>
      <c r="H27" s="105">
        <f>H26*21000000</f>
        <v>50026089522165.125</v>
      </c>
      <c r="I27" s="105"/>
      <c r="J27" s="105">
        <f>J26*21000000</f>
        <v>60031307426598.148</v>
      </c>
      <c r="K27" s="105"/>
      <c r="L27" s="105">
        <f>L26*21000000</f>
        <v>72037568911917.766</v>
      </c>
      <c r="M27" s="105"/>
      <c r="N27" s="105">
        <f>N26*21000000</f>
        <v>86445082694301.328</v>
      </c>
      <c r="O27" s="105"/>
      <c r="P27" s="105">
        <f>P26*21000000</f>
        <v>103734099233161.58</v>
      </c>
      <c r="Q27" s="105"/>
      <c r="R27" s="105">
        <f>R26*21000000</f>
        <v>124480919079793.91</v>
      </c>
      <c r="S27" s="105"/>
      <c r="T27" s="105">
        <f>T26*21000000</f>
        <v>149377102895752.69</v>
      </c>
      <c r="U27" s="105"/>
      <c r="V27" s="105">
        <f>V26*21000000</f>
        <v>179252523474903.22</v>
      </c>
      <c r="W27" s="105"/>
      <c r="X27" s="2"/>
    </row>
    <row r="28" spans="1:25" ht="15.75" customHeight="1" thickTop="1" x14ac:dyDescent="0.45">
      <c r="A28" s="4"/>
      <c r="B28" s="108" t="s">
        <v>17</v>
      </c>
      <c r="C28" s="110" t="s">
        <v>22</v>
      </c>
      <c r="D28" s="106" t="s">
        <v>14</v>
      </c>
      <c r="E28" s="106" t="s">
        <v>15</v>
      </c>
      <c r="F28" s="106" t="s">
        <v>14</v>
      </c>
      <c r="G28" s="106" t="s">
        <v>15</v>
      </c>
      <c r="H28" s="106" t="s">
        <v>14</v>
      </c>
      <c r="I28" s="106" t="s">
        <v>15</v>
      </c>
      <c r="J28" s="106" t="s">
        <v>14</v>
      </c>
      <c r="K28" s="106" t="s">
        <v>15</v>
      </c>
      <c r="L28" s="106" t="s">
        <v>14</v>
      </c>
      <c r="M28" s="106" t="s">
        <v>15</v>
      </c>
      <c r="N28" s="106" t="s">
        <v>14</v>
      </c>
      <c r="O28" s="106" t="s">
        <v>15</v>
      </c>
      <c r="P28" s="106" t="s">
        <v>14</v>
      </c>
      <c r="Q28" s="106" t="s">
        <v>15</v>
      </c>
      <c r="R28" s="106" t="s">
        <v>14</v>
      </c>
      <c r="S28" s="106" t="s">
        <v>15</v>
      </c>
      <c r="T28" s="106" t="s">
        <v>14</v>
      </c>
      <c r="U28" s="106" t="s">
        <v>15</v>
      </c>
      <c r="V28" s="106" t="s">
        <v>14</v>
      </c>
      <c r="W28" s="106" t="s">
        <v>15</v>
      </c>
      <c r="X28" s="2"/>
    </row>
    <row r="29" spans="1:25" ht="15.75" customHeight="1" thickBot="1" x14ac:dyDescent="0.5">
      <c r="A29" s="4"/>
      <c r="B29" s="109"/>
      <c r="C29" s="111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2"/>
    </row>
    <row r="30" spans="1:25" ht="15.85" customHeight="1" thickTop="1" thickBot="1" x14ac:dyDescent="0.5">
      <c r="A30" s="4"/>
      <c r="B30" s="6" t="s">
        <v>56</v>
      </c>
      <c r="C30" s="19">
        <v>0.2</v>
      </c>
      <c r="D30" s="21" t="str">
        <f>TEXT(ROUND(((D$26-$C$26)*$C$4*$C30)/D$26, 2), "0.00")</f>
        <v>0.33</v>
      </c>
      <c r="E30" s="71">
        <f>ROUND(D30 * D$26, 2)</f>
        <v>545919.63</v>
      </c>
      <c r="F30" s="21" t="str">
        <f>TEXT(ROUND(((F$26-$C$26)*$C$4*$C30)/F$26, 2), "0.00")</f>
        <v>0.61</v>
      </c>
      <c r="G30" s="71">
        <f t="shared" ref="G30" si="44">ROUND(F30 * F$26, 2)</f>
        <v>1210948.99</v>
      </c>
      <c r="H30" s="21" t="str">
        <f>TEXT(ROUND(((H$26-$C$26)*$C$4*$C30)/H$26, 2), "0.00")</f>
        <v>0.84</v>
      </c>
      <c r="I30" s="71">
        <f t="shared" ref="I30" si="45">ROUND(H30 * H$26, 2)</f>
        <v>2001043.58</v>
      </c>
      <c r="J30" s="21" t="str">
        <f>TEXT(ROUND(((J$26-$C$26)*$C$4*$C30)/J$26, 2), "0.00")</f>
        <v>1.04</v>
      </c>
      <c r="K30" s="71">
        <f t="shared" ref="K30" si="46">ROUND(J30 * J$26, 2)</f>
        <v>2972979.03</v>
      </c>
      <c r="L30" s="21" t="str">
        <f>TEXT(ROUND(((L$26-$C$26)*$C$4*$C30)/L$26, 2), "0.00")</f>
        <v>1.20</v>
      </c>
      <c r="M30" s="71">
        <f t="shared" ref="M30" si="47">ROUND(L30 * L$26, 2)</f>
        <v>4116432.51</v>
      </c>
      <c r="N30" s="21" t="str">
        <f>TEXT(ROUND(((N$26-$C$26)*$C$4*$C30)/N$26, 2), "0.00")</f>
        <v>1.33</v>
      </c>
      <c r="O30" s="71">
        <f t="shared" ref="O30" si="48">ROUND(N30 * N$26, 2)</f>
        <v>5474855.2400000002</v>
      </c>
      <c r="P30" s="21" t="str">
        <f>TEXT(ROUND(((P$26-$C$26)*$C$4*$C30)/P$26, 2), "0.00")</f>
        <v>1.44</v>
      </c>
      <c r="Q30" s="71">
        <f t="shared" ref="Q30" si="49">ROUND(P30 * P$26, 2)</f>
        <v>7113195.3799999999</v>
      </c>
      <c r="R30" s="21" t="str">
        <f>TEXT(ROUND(((R$26-$C$26)*$C$4*$C30)/R$26, 2), "0.00")</f>
        <v>1.53</v>
      </c>
      <c r="S30" s="71">
        <f t="shared" ref="S30" si="50">ROUND(R30 * R$26, 2)</f>
        <v>9069324.0999999996</v>
      </c>
      <c r="T30" s="21" t="str">
        <f>TEXT(ROUND(((T$26-$C$26)*$C$4*$C30)/T$26, 2), "0.00")</f>
        <v>1.61</v>
      </c>
      <c r="U30" s="71">
        <f t="shared" ref="U30:W31" si="51">ROUND(T30 * T$26, 2)</f>
        <v>11452244.560000001</v>
      </c>
      <c r="V30" s="21" t="str">
        <f>TEXT(ROUND(((V$26-$C$26)*$C$4*$C30)/V$26, 2), "0.00")</f>
        <v>1.68</v>
      </c>
      <c r="W30" s="71">
        <f t="shared" ref="W30" si="52">ROUND(V30 * V$26, 2)</f>
        <v>14340201.880000001</v>
      </c>
      <c r="X30" s="2"/>
    </row>
    <row r="31" spans="1:25" ht="15.85" customHeight="1" thickTop="1" thickBot="1" x14ac:dyDescent="0.5">
      <c r="A31" s="4"/>
      <c r="B31" s="6" t="s">
        <v>1</v>
      </c>
      <c r="C31" s="19">
        <v>0.3</v>
      </c>
      <c r="D31" s="21" t="str">
        <f>TEXT(ROUND(((D$26-$C$26)*$C$4*$C31)/D$26, 2), "0.00")</f>
        <v>0.50</v>
      </c>
      <c r="E31" s="71">
        <f t="shared" ref="E31:S33" si="53">ROUND(D31 * D$26, 2)</f>
        <v>827150.95</v>
      </c>
      <c r="F31" s="21" t="str">
        <f>TEXT(ROUND(((F$26-$C$26)*$C$4*$C31)/F$26, 2), "0.00")</f>
        <v>0.92</v>
      </c>
      <c r="G31" s="71">
        <f t="shared" si="53"/>
        <v>1826349.3</v>
      </c>
      <c r="H31" s="21" t="str">
        <f>TEXT(ROUND(((H$26-$C$26)*$C$4*$C31)/H$26, 2), "0.00")</f>
        <v>1.26</v>
      </c>
      <c r="I31" s="71">
        <f t="shared" si="53"/>
        <v>3001565.37</v>
      </c>
      <c r="J31" s="21" t="str">
        <f>TEXT(ROUND(((J$26-$C$26)*$C$4*$C31)/J$26, 2), "0.00")</f>
        <v>1.55</v>
      </c>
      <c r="K31" s="71">
        <f t="shared" si="53"/>
        <v>4430882.21</v>
      </c>
      <c r="L31" s="21" t="str">
        <f>TEXT(ROUND(((L$26-$C$26)*$C$4*$C31)/L$26, 2), "0.00")</f>
        <v>1.79</v>
      </c>
      <c r="M31" s="71">
        <f t="shared" si="53"/>
        <v>6140345.1600000001</v>
      </c>
      <c r="N31" s="21" t="str">
        <f>TEXT(ROUND(((N$26-$C$26)*$C$4*$C31)/N$26, 2), "0.00")</f>
        <v>2.00</v>
      </c>
      <c r="O31" s="71">
        <f t="shared" si="53"/>
        <v>8232865.0199999996</v>
      </c>
      <c r="P31" s="21" t="str">
        <f>TEXT(ROUND(((P$26-$C$26)*$C$4*$C31)/P$26, 2), "0.00")</f>
        <v>2.16</v>
      </c>
      <c r="Q31" s="71">
        <f t="shared" si="53"/>
        <v>10669793.060000001</v>
      </c>
      <c r="R31" s="21" t="str">
        <f>TEXT(ROUND(((R$26-$C$26)*$C$4*$C31)/R$26, 2), "0.00")</f>
        <v>2.30</v>
      </c>
      <c r="S31" s="71">
        <f t="shared" si="53"/>
        <v>13633624.470000001</v>
      </c>
      <c r="T31" s="21" t="str">
        <f>TEXT(ROUND(((T$26-$C$26)*$C$4*$C31)/T$26, 2), "0.00")</f>
        <v>2.42</v>
      </c>
      <c r="U31" s="71">
        <f t="shared" si="51"/>
        <v>17213932.809999999</v>
      </c>
      <c r="V31" s="21" t="str">
        <f>TEXT(ROUND(((V$26-$C$26)*$C$4*$C31)/V$26, 2), "0.00")</f>
        <v>2.52</v>
      </c>
      <c r="W31" s="71">
        <f t="shared" si="51"/>
        <v>21510302.82</v>
      </c>
      <c r="X31" s="2"/>
    </row>
    <row r="32" spans="1:25" ht="15.85" customHeight="1" thickTop="1" thickBot="1" x14ac:dyDescent="0.5">
      <c r="A32" s="4"/>
      <c r="B32" s="6" t="s">
        <v>2</v>
      </c>
      <c r="C32" s="19">
        <v>0.5</v>
      </c>
      <c r="D32" s="21" t="str">
        <f>TEXT(ROUND(((D$26-$C$26)*$C$4*$C32)/D$26, 2), "0.00")</f>
        <v>0.83</v>
      </c>
      <c r="E32" s="71">
        <f t="shared" si="53"/>
        <v>1373070.58</v>
      </c>
      <c r="F32" s="21" t="str">
        <f>TEXT(ROUND(((F$26-$C$26)*$C$4*$C32)/F$26, 2), "0.00")</f>
        <v>1.53</v>
      </c>
      <c r="G32" s="71">
        <f t="shared" ref="G32:W33" si="54">ROUND(F32 * F$26, 2)</f>
        <v>3037298.29</v>
      </c>
      <c r="H32" s="21" t="str">
        <f>TEXT(ROUND(((H$26-$C$26)*$C$4*$C32)/H$26, 2), "0.00")</f>
        <v>2.11</v>
      </c>
      <c r="I32" s="71">
        <f t="shared" si="54"/>
        <v>5026430.9000000004</v>
      </c>
      <c r="J32" s="21" t="str">
        <f>TEXT(ROUND(((J$26-$C$26)*$C$4*$C32)/J$26, 2), "0.00")</f>
        <v>2.59</v>
      </c>
      <c r="K32" s="71">
        <f t="shared" si="54"/>
        <v>7403861.25</v>
      </c>
      <c r="L32" s="21" t="str">
        <f>TEXT(ROUND(((L$26-$C$26)*$C$4*$C32)/L$26, 2), "0.00")</f>
        <v>2.99</v>
      </c>
      <c r="M32" s="71">
        <f t="shared" si="54"/>
        <v>10256777.67</v>
      </c>
      <c r="N32" s="21" t="str">
        <f>TEXT(ROUND(((N$26-$C$26)*$C$4*$C32)/N$26, 2), "0.00")</f>
        <v>3.33</v>
      </c>
      <c r="O32" s="71">
        <f t="shared" si="54"/>
        <v>13707720.26</v>
      </c>
      <c r="P32" s="21" t="str">
        <f>TEXT(ROUND(((P$26-$C$26)*$C$4*$C32)/P$26, 2), "0.00")</f>
        <v>3.60</v>
      </c>
      <c r="Q32" s="71">
        <f t="shared" si="54"/>
        <v>17782988.440000001</v>
      </c>
      <c r="R32" s="21" t="str">
        <f>TEXT(ROUND(((R$26-$C$26)*$C$4*$C32)/R$26, 2), "0.00")</f>
        <v>3.84</v>
      </c>
      <c r="S32" s="71">
        <f t="shared" si="54"/>
        <v>22762225.199999999</v>
      </c>
      <c r="T32" s="21" t="str">
        <f>TEXT(ROUND(((T$26-$C$26)*$C$4*$C32)/T$26, 2), "0.00")</f>
        <v>4.03</v>
      </c>
      <c r="U32" s="71">
        <f t="shared" si="54"/>
        <v>28666177.370000001</v>
      </c>
      <c r="V32" s="21" t="str">
        <f>TEXT(ROUND(((V$26-$C$26)*$C$4*$C32)/V$26, 2), "0.00")</f>
        <v>4.19</v>
      </c>
      <c r="W32" s="71">
        <f t="shared" si="54"/>
        <v>35765146.350000001</v>
      </c>
      <c r="X32" s="2"/>
    </row>
    <row r="33" spans="1:25" ht="15.85" customHeight="1" thickTop="1" thickBot="1" x14ac:dyDescent="0.5">
      <c r="A33" s="4"/>
      <c r="B33" s="6" t="s">
        <v>0</v>
      </c>
      <c r="C33" s="19">
        <f>SUM(C30:C32)</f>
        <v>1</v>
      </c>
      <c r="D33" s="21" t="str">
        <f>TEXT(ROUND(((D$26-$C$26)*$C$4*$C33)/D$26, 2), "0.00")</f>
        <v>1.67</v>
      </c>
      <c r="E33" s="71">
        <f t="shared" si="53"/>
        <v>2762684.18</v>
      </c>
      <c r="F33" s="21" t="str">
        <f>TEXT(ROUND(((F$26-$C$26)*$C$4*$C33)/F$26, 2), "0.00")</f>
        <v>3.06</v>
      </c>
      <c r="G33" s="71">
        <f t="shared" si="54"/>
        <v>6074596.5800000001</v>
      </c>
      <c r="H33" s="21" t="str">
        <f>TEXT(ROUND(((H$26-$C$26)*$C$4*$C33)/H$26, 2), "0.00")</f>
        <v>4.21</v>
      </c>
      <c r="I33" s="71">
        <f t="shared" si="54"/>
        <v>10029039.85</v>
      </c>
      <c r="J33" s="21" t="str">
        <f>TEXT(ROUND(((J$26-$C$26)*$C$4*$C33)/J$26, 2), "0.00")</f>
        <v>5.18</v>
      </c>
      <c r="K33" s="71">
        <f t="shared" si="54"/>
        <v>14807722.5</v>
      </c>
      <c r="L33" s="21" t="str">
        <f>TEXT(ROUND(((L$26-$C$26)*$C$4*$C33)/L$26, 2), "0.00")</f>
        <v>5.98</v>
      </c>
      <c r="M33" s="71">
        <f t="shared" si="54"/>
        <v>20513555.34</v>
      </c>
      <c r="N33" s="21" t="str">
        <f>TEXT(ROUND(((N$26-$C$26)*$C$4*$C33)/N$26, 2), "0.00")</f>
        <v>6.65</v>
      </c>
      <c r="O33" s="71">
        <f t="shared" si="54"/>
        <v>27374276.190000001</v>
      </c>
      <c r="P33" s="21" t="str">
        <f>TEXT(ROUND(((P$26-$C$26)*$C$4*$C33)/P$26, 2), "0.00")</f>
        <v>7.21</v>
      </c>
      <c r="Q33" s="71">
        <f t="shared" si="54"/>
        <v>35615374.07</v>
      </c>
      <c r="R33" s="21" t="str">
        <f>TEXT(ROUND(((R$26-$C$26)*$C$4*$C33)/R$26, 2), "0.00")</f>
        <v>7.67</v>
      </c>
      <c r="S33" s="71">
        <f t="shared" si="54"/>
        <v>45465173.780000001</v>
      </c>
      <c r="T33" s="21" t="str">
        <f>TEXT(ROUND(((T$26-$C$26)*$C$4*$C33)/T$26, 2), "0.00")</f>
        <v>8.06</v>
      </c>
      <c r="U33" s="71">
        <f t="shared" si="54"/>
        <v>57332354.729999997</v>
      </c>
      <c r="V33" s="21" t="str">
        <f>TEXT(ROUND(((V$26-$C$26)*$C$4*$C33)/V$26, 2), "0.00")</f>
        <v>8.38</v>
      </c>
      <c r="W33" s="71">
        <f t="shared" si="54"/>
        <v>71530292.700000003</v>
      </c>
      <c r="X33" s="2"/>
    </row>
    <row r="34" spans="1:25" ht="15.75" customHeight="1" thickTop="1" thickBot="1" x14ac:dyDescent="0.5">
      <c r="A34" s="4"/>
      <c r="B34" s="113" t="s">
        <v>40</v>
      </c>
      <c r="C34" s="113"/>
      <c r="D34" s="114" t="s">
        <v>23</v>
      </c>
      <c r="E34" s="114"/>
      <c r="F34" s="114"/>
      <c r="G34" s="114"/>
      <c r="H34" s="114"/>
      <c r="I34" s="114"/>
      <c r="J34" s="114"/>
      <c r="K34" s="114"/>
      <c r="L34" s="114"/>
      <c r="M34" s="114"/>
      <c r="N34" s="114" t="s">
        <v>43</v>
      </c>
      <c r="O34" s="114"/>
      <c r="P34" s="114"/>
      <c r="Q34" s="114"/>
      <c r="R34" s="114"/>
      <c r="S34" s="114"/>
      <c r="T34" s="114"/>
      <c r="U34" s="114"/>
      <c r="V34" s="114"/>
      <c r="W34" s="114"/>
      <c r="X34" s="2"/>
      <c r="Y34" s="8" t="s">
        <v>28</v>
      </c>
    </row>
    <row r="35" spans="1:25" ht="15.85" customHeight="1" thickTop="1" thickBot="1" x14ac:dyDescent="0.5">
      <c r="A35" s="4"/>
      <c r="B35" s="113"/>
      <c r="C35" s="113"/>
      <c r="D35" s="103" t="s">
        <v>26</v>
      </c>
      <c r="E35" s="103"/>
      <c r="F35" s="103" t="s">
        <v>18</v>
      </c>
      <c r="G35" s="103"/>
      <c r="H35" s="103" t="s">
        <v>19</v>
      </c>
      <c r="I35" s="103"/>
      <c r="J35" s="103" t="s">
        <v>20</v>
      </c>
      <c r="K35" s="103"/>
      <c r="L35" s="103" t="s">
        <v>21</v>
      </c>
      <c r="M35" s="103"/>
      <c r="N35" s="103" t="s">
        <v>26</v>
      </c>
      <c r="O35" s="103"/>
      <c r="P35" s="103" t="s">
        <v>18</v>
      </c>
      <c r="Q35" s="103"/>
      <c r="R35" s="103" t="s">
        <v>19</v>
      </c>
      <c r="S35" s="103"/>
      <c r="T35" s="103" t="s">
        <v>20</v>
      </c>
      <c r="U35" s="103"/>
      <c r="V35" s="103" t="s">
        <v>21</v>
      </c>
      <c r="W35" s="103"/>
      <c r="X35" s="2"/>
      <c r="Y35" s="112" t="s">
        <v>41</v>
      </c>
    </row>
    <row r="36" spans="1:25" ht="15.85" customHeight="1" thickTop="1" thickBot="1" x14ac:dyDescent="0.5">
      <c r="A36" s="4"/>
      <c r="B36" s="113"/>
      <c r="C36" s="113"/>
      <c r="D36" s="5" t="s">
        <v>14</v>
      </c>
      <c r="E36" s="5" t="s">
        <v>15</v>
      </c>
      <c r="F36" s="5" t="s">
        <v>14</v>
      </c>
      <c r="G36" s="5" t="s">
        <v>15</v>
      </c>
      <c r="H36" s="5" t="s">
        <v>14</v>
      </c>
      <c r="I36" s="5" t="s">
        <v>15</v>
      </c>
      <c r="J36" s="5" t="s">
        <v>14</v>
      </c>
      <c r="K36" s="5" t="s">
        <v>15</v>
      </c>
      <c r="L36" s="5" t="s">
        <v>14</v>
      </c>
      <c r="M36" s="5" t="s">
        <v>15</v>
      </c>
      <c r="N36" s="5" t="s">
        <v>14</v>
      </c>
      <c r="O36" s="5" t="s">
        <v>15</v>
      </c>
      <c r="P36" s="5" t="s">
        <v>14</v>
      </c>
      <c r="Q36" s="5" t="s">
        <v>15</v>
      </c>
      <c r="R36" s="5" t="s">
        <v>14</v>
      </c>
      <c r="S36" s="5" t="s">
        <v>15</v>
      </c>
      <c r="T36" s="5" t="s">
        <v>14</v>
      </c>
      <c r="U36" s="5" t="s">
        <v>15</v>
      </c>
      <c r="V36" s="5" t="s">
        <v>14</v>
      </c>
      <c r="W36" s="5" t="s">
        <v>15</v>
      </c>
      <c r="X36" s="2"/>
      <c r="Y36" s="112"/>
    </row>
    <row r="37" spans="1:25" ht="15.85" customHeight="1" thickTop="1" thickBot="1" x14ac:dyDescent="0.5">
      <c r="A37" s="4"/>
      <c r="B37" s="115" t="s">
        <v>56</v>
      </c>
      <c r="C37" s="115"/>
      <c r="D37" s="69" t="str">
        <f>TEXT(ROUND(L30/$C$4/5*100, 2), "0.00") &amp; "%"</f>
        <v>2.40%</v>
      </c>
      <c r="E37" s="70" t="str">
        <f>TEXT(ROUND(M30/$C$24/5*100, 2), "0.00") &amp; "%"</f>
        <v>5.97%</v>
      </c>
      <c r="F37" s="21">
        <f>ROUND($L30/5, 2)</f>
        <v>0.24</v>
      </c>
      <c r="G37" s="71">
        <f>$M30/5</f>
        <v>823286.50199999998</v>
      </c>
      <c r="H37" s="21">
        <f>F37*10</f>
        <v>2.4</v>
      </c>
      <c r="I37" s="71">
        <f>G37*10</f>
        <v>8232865.0199999996</v>
      </c>
      <c r="J37" s="21">
        <f t="shared" ref="J37:J40" si="55">H37*10</f>
        <v>24</v>
      </c>
      <c r="K37" s="71">
        <f t="shared" ref="K37:K40" si="56">I37*10</f>
        <v>82328650.199999988</v>
      </c>
      <c r="L37" s="21">
        <f t="shared" ref="L37:L40" si="57">J37*10</f>
        <v>240</v>
      </c>
      <c r="M37" s="71">
        <f t="shared" ref="M37:M40" si="58">K37*10</f>
        <v>823286501.99999988</v>
      </c>
      <c r="N37" s="69" t="str">
        <f>TEXT(ROUND((V30-L30)/$C$4/5*100, 2), "0.00") &amp; "%"</f>
        <v>0.96%</v>
      </c>
      <c r="O37" s="70" t="str">
        <f>TEXT(ROUND((W30-M30)/$C$24/5*100, 2), "0.00") &amp; "%"</f>
        <v>14.83%</v>
      </c>
      <c r="P37" s="21">
        <f>ROUND(($V30-$L30)/5, 2)</f>
        <v>0.1</v>
      </c>
      <c r="Q37" s="71">
        <f>ROUND(($W30-$M30)/5, 2)</f>
        <v>2044753.87</v>
      </c>
      <c r="R37" s="21">
        <f>P37*10</f>
        <v>1</v>
      </c>
      <c r="S37" s="71">
        <f>Q37*10</f>
        <v>20447538.700000003</v>
      </c>
      <c r="T37" s="21">
        <f t="shared" ref="T37:T40" si="59">R37*10</f>
        <v>10</v>
      </c>
      <c r="U37" s="71">
        <f t="shared" ref="U37:U40" si="60">S37*10</f>
        <v>204475387.00000003</v>
      </c>
      <c r="V37" s="21">
        <f t="shared" ref="V37:V40" si="61">T37*10</f>
        <v>100</v>
      </c>
      <c r="W37" s="71">
        <f t="shared" ref="W37:W40" si="62">U37*10</f>
        <v>2044753870.0000002</v>
      </c>
      <c r="X37" s="2"/>
      <c r="Y37" s="21" t="str">
        <f>TEXT(ROUND(V30/$C$4/10*100, 2), "0.00") &amp; "%"</f>
        <v>1.68%</v>
      </c>
    </row>
    <row r="38" spans="1:25" ht="15.85" customHeight="1" thickTop="1" thickBot="1" x14ac:dyDescent="0.5">
      <c r="A38" s="4"/>
      <c r="B38" s="115" t="s">
        <v>1</v>
      </c>
      <c r="C38" s="115"/>
      <c r="D38" s="69" t="str">
        <f>TEXT(ROUND(L31/$C$4/5*100, 2), "0.00") &amp; "%"</f>
        <v>3.58%</v>
      </c>
      <c r="E38" s="70" t="str">
        <f t="shared" ref="E38:E40" si="63">TEXT(ROUND(M31/$C$24/5*100, 2), "0.00") &amp; "%"</f>
        <v>8.91%</v>
      </c>
      <c r="F38" s="21">
        <f>ROUND($L31/5, 2)</f>
        <v>0.36</v>
      </c>
      <c r="G38" s="71">
        <f t="shared" ref="G38" si="64">ROUND($M31/5, 2)</f>
        <v>1228069.03</v>
      </c>
      <c r="H38" s="21">
        <f t="shared" ref="H38:H40" si="65">F38*10</f>
        <v>3.5999999999999996</v>
      </c>
      <c r="I38" s="71">
        <f t="shared" ref="I38:I40" si="66">G38*10</f>
        <v>12280690.300000001</v>
      </c>
      <c r="J38" s="21">
        <f t="shared" si="55"/>
        <v>36</v>
      </c>
      <c r="K38" s="71">
        <f t="shared" si="56"/>
        <v>122806903</v>
      </c>
      <c r="L38" s="21">
        <f t="shared" si="57"/>
        <v>360</v>
      </c>
      <c r="M38" s="71">
        <f t="shared" si="58"/>
        <v>1228069030</v>
      </c>
      <c r="N38" s="69" t="str">
        <f>TEXT(ROUND((V31-L31)/$C$4/5*100, 2), "0.00") &amp; "%"</f>
        <v>1.46%</v>
      </c>
      <c r="O38" s="70" t="str">
        <f t="shared" ref="O38:O40" si="67">TEXT(ROUND((W31-M31)/$C$24/5*100, 2), "0.00") &amp; "%"</f>
        <v>22.30%</v>
      </c>
      <c r="P38" s="21">
        <f>ROUND(($V31-$L31)/5, 2)</f>
        <v>0.15</v>
      </c>
      <c r="Q38" s="71">
        <f>ROUND(($W31-$M31)/5, 2)</f>
        <v>3073991.53</v>
      </c>
      <c r="R38" s="21">
        <f t="shared" ref="R38:R40" si="68">P38*10</f>
        <v>1.5</v>
      </c>
      <c r="S38" s="71">
        <f t="shared" ref="S38:S40" si="69">Q38*10</f>
        <v>30739915.299999997</v>
      </c>
      <c r="T38" s="21">
        <f t="shared" si="59"/>
        <v>15</v>
      </c>
      <c r="U38" s="71">
        <f t="shared" si="60"/>
        <v>307399153</v>
      </c>
      <c r="V38" s="21">
        <f t="shared" si="61"/>
        <v>150</v>
      </c>
      <c r="W38" s="71">
        <f t="shared" si="62"/>
        <v>3073991530</v>
      </c>
      <c r="X38" s="2"/>
      <c r="Y38" s="22" t="str">
        <f>TEXT(ROUND(W31/$C24/10*100, 2), "0.00") &amp; "%"</f>
        <v>15.60%</v>
      </c>
    </row>
    <row r="39" spans="1:25" ht="15.85" customHeight="1" thickTop="1" thickBot="1" x14ac:dyDescent="0.5">
      <c r="B39" s="115" t="s">
        <v>2</v>
      </c>
      <c r="C39" s="115"/>
      <c r="D39" s="69" t="str">
        <f>TEXT(ROUND(L32/$C$4/5*100, 2), "0.00") &amp; "%"</f>
        <v>5.98%</v>
      </c>
      <c r="E39" s="70" t="str">
        <f t="shared" si="63"/>
        <v>14.88%</v>
      </c>
      <c r="F39" s="21">
        <f>ROUND($L32/5, 2)</f>
        <v>0.6</v>
      </c>
      <c r="G39" s="71">
        <f t="shared" ref="G39" si="70">ROUND($M32/5, 2)</f>
        <v>2051355.53</v>
      </c>
      <c r="H39" s="21">
        <f t="shared" si="65"/>
        <v>6</v>
      </c>
      <c r="I39" s="71">
        <f t="shared" si="66"/>
        <v>20513555.300000001</v>
      </c>
      <c r="J39" s="21">
        <f t="shared" si="55"/>
        <v>60</v>
      </c>
      <c r="K39" s="71">
        <f t="shared" si="56"/>
        <v>205135553</v>
      </c>
      <c r="L39" s="21">
        <f t="shared" si="57"/>
        <v>600</v>
      </c>
      <c r="M39" s="71">
        <f t="shared" si="58"/>
        <v>2051355530</v>
      </c>
      <c r="N39" s="69" t="str">
        <f>TEXT(ROUND((V32-L32)/$C$4/5*100, 2), "0.00") &amp; "%"</f>
        <v>2.40%</v>
      </c>
      <c r="O39" s="70" t="str">
        <f t="shared" si="67"/>
        <v>37.01%</v>
      </c>
      <c r="P39" s="21">
        <f>ROUND(($V32-$L32)/5, 2)</f>
        <v>0.24</v>
      </c>
      <c r="Q39" s="71">
        <f>ROUND(($W32-$M32)/5, 2)</f>
        <v>5101673.74</v>
      </c>
      <c r="R39" s="21">
        <f t="shared" si="68"/>
        <v>2.4</v>
      </c>
      <c r="S39" s="71">
        <f t="shared" si="69"/>
        <v>51016737.400000006</v>
      </c>
      <c r="T39" s="21">
        <f t="shared" si="59"/>
        <v>24</v>
      </c>
      <c r="U39" s="71">
        <f t="shared" si="60"/>
        <v>510167374.00000006</v>
      </c>
      <c r="V39" s="21">
        <f t="shared" si="61"/>
        <v>240</v>
      </c>
      <c r="W39" s="71">
        <f t="shared" si="62"/>
        <v>5101673740.000001</v>
      </c>
      <c r="Y39" s="21" t="str">
        <f>TEXT(ROUND(V32/$C$4/10*100, 2), "0.00") &amp; "%"</f>
        <v>4.19%</v>
      </c>
    </row>
    <row r="40" spans="1:25" s="3" customFormat="1" ht="15.85" customHeight="1" thickTop="1" thickBot="1" x14ac:dyDescent="0.5">
      <c r="A40" s="1"/>
      <c r="B40" s="115" t="s">
        <v>0</v>
      </c>
      <c r="C40" s="115"/>
      <c r="D40" s="69" t="str">
        <f>TEXT(ROUND(L33/$C$4/5*100, 2), "0.00") &amp; "%"</f>
        <v>11.96%</v>
      </c>
      <c r="E40" s="70" t="str">
        <f t="shared" si="63"/>
        <v>29.76%</v>
      </c>
      <c r="F40" s="21">
        <f>ROUND($L33/5, 2)</f>
        <v>1.2</v>
      </c>
      <c r="G40" s="71">
        <f>ROUND($M33/5, 2)</f>
        <v>4102711.07</v>
      </c>
      <c r="H40" s="21">
        <f t="shared" si="65"/>
        <v>12</v>
      </c>
      <c r="I40" s="71">
        <f t="shared" si="66"/>
        <v>41027110.699999996</v>
      </c>
      <c r="J40" s="21">
        <f t="shared" si="55"/>
        <v>120</v>
      </c>
      <c r="K40" s="71">
        <f t="shared" si="56"/>
        <v>410271106.99999994</v>
      </c>
      <c r="L40" s="21">
        <f t="shared" si="57"/>
        <v>1200</v>
      </c>
      <c r="M40" s="71">
        <f t="shared" si="58"/>
        <v>4102711069.9999995</v>
      </c>
      <c r="N40" s="69" t="str">
        <f>TEXT(ROUND((V33-L33)/$C$4/5*100, 2), "0.00") &amp; "%"</f>
        <v>4.80%</v>
      </c>
      <c r="O40" s="70" t="str">
        <f t="shared" si="67"/>
        <v>74.01%</v>
      </c>
      <c r="P40" s="21">
        <f>ROUND(($V33-$L33)/5, 2)</f>
        <v>0.48</v>
      </c>
      <c r="Q40" s="71">
        <f>ROUND(($W33-$M33)/5, 2)</f>
        <v>10203347.470000001</v>
      </c>
      <c r="R40" s="21">
        <f t="shared" si="68"/>
        <v>4.8</v>
      </c>
      <c r="S40" s="71">
        <f t="shared" si="69"/>
        <v>102033474.7</v>
      </c>
      <c r="T40" s="21">
        <f t="shared" si="59"/>
        <v>48</v>
      </c>
      <c r="U40" s="71">
        <f t="shared" si="60"/>
        <v>1020334747</v>
      </c>
      <c r="V40" s="21">
        <f t="shared" si="61"/>
        <v>480</v>
      </c>
      <c r="W40" s="71">
        <f t="shared" si="62"/>
        <v>10203347470</v>
      </c>
      <c r="X40" s="1"/>
    </row>
    <row r="41" spans="1:25" ht="15.85" customHeight="1" thickTop="1" x14ac:dyDescent="0.45"/>
  </sheetData>
  <mergeCells count="143">
    <mergeCell ref="L10:L11"/>
    <mergeCell ref="M10:M11"/>
    <mergeCell ref="N10:N11"/>
    <mergeCell ref="O10:O11"/>
    <mergeCell ref="P10:P11"/>
    <mergeCell ref="Q10:Q11"/>
    <mergeCell ref="R10:R11"/>
    <mergeCell ref="S10:S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T10:T11"/>
    <mergeCell ref="U10:U11"/>
    <mergeCell ref="V10:V11"/>
    <mergeCell ref="W10:W11"/>
    <mergeCell ref="Y17:Y18"/>
    <mergeCell ref="Y35:Y36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M28:M29"/>
    <mergeCell ref="N17:O17"/>
    <mergeCell ref="P17:Q17"/>
    <mergeCell ref="R17:S17"/>
    <mergeCell ref="T17:U17"/>
    <mergeCell ref="V17:W17"/>
    <mergeCell ref="N16:W16"/>
    <mergeCell ref="V27:W27"/>
    <mergeCell ref="K10:K11"/>
    <mergeCell ref="F9:G9"/>
    <mergeCell ref="F8:G8"/>
    <mergeCell ref="D7:E7"/>
    <mergeCell ref="D8:E8"/>
    <mergeCell ref="D9:E9"/>
    <mergeCell ref="N8:O8"/>
    <mergeCell ref="L8:M8"/>
    <mergeCell ref="J8:K8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V8:W8"/>
    <mergeCell ref="V9:W9"/>
    <mergeCell ref="H8:I8"/>
    <mergeCell ref="T8:U8"/>
    <mergeCell ref="R8:S8"/>
    <mergeCell ref="P8:Q8"/>
    <mergeCell ref="T9:U9"/>
    <mergeCell ref="R9:S9"/>
    <mergeCell ref="P9:Q9"/>
    <mergeCell ref="N9:O9"/>
    <mergeCell ref="L9:M9"/>
    <mergeCell ref="J9:K9"/>
    <mergeCell ref="H9:I9"/>
    <mergeCell ref="B19:C19"/>
    <mergeCell ref="B20:C20"/>
    <mergeCell ref="B21:C21"/>
    <mergeCell ref="B22:C22"/>
    <mergeCell ref="B16:C18"/>
    <mergeCell ref="D16:M16"/>
    <mergeCell ref="D17:E17"/>
    <mergeCell ref="F17:G17"/>
    <mergeCell ref="H17:I17"/>
    <mergeCell ref="J17:K17"/>
    <mergeCell ref="L17:M17"/>
    <mergeCell ref="B37:C37"/>
    <mergeCell ref="B38:C38"/>
    <mergeCell ref="N25:O25"/>
    <mergeCell ref="P25:Q25"/>
    <mergeCell ref="R25:S25"/>
    <mergeCell ref="T25:U25"/>
    <mergeCell ref="V25:W25"/>
    <mergeCell ref="D25:E25"/>
    <mergeCell ref="F25:G25"/>
    <mergeCell ref="H25:I25"/>
    <mergeCell ref="J25:K25"/>
    <mergeCell ref="L25:M25"/>
    <mergeCell ref="B28:B29"/>
    <mergeCell ref="C28:C29"/>
    <mergeCell ref="N28:N29"/>
    <mergeCell ref="O28:O29"/>
    <mergeCell ref="P28:P29"/>
    <mergeCell ref="Q28:Q29"/>
    <mergeCell ref="R28:R29"/>
    <mergeCell ref="S28:S29"/>
    <mergeCell ref="T28:T29"/>
    <mergeCell ref="U28:U29"/>
    <mergeCell ref="V28:V29"/>
    <mergeCell ref="W28:W29"/>
    <mergeCell ref="B34:C36"/>
    <mergeCell ref="D34:M34"/>
    <mergeCell ref="N34:W34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V26:W26"/>
    <mergeCell ref="D2:W4"/>
    <mergeCell ref="B40:C40"/>
    <mergeCell ref="D6:W6"/>
    <mergeCell ref="D24:W24"/>
    <mergeCell ref="N35:O35"/>
    <mergeCell ref="P35:Q35"/>
    <mergeCell ref="R35:S35"/>
    <mergeCell ref="T35:U35"/>
    <mergeCell ref="V35:W35"/>
    <mergeCell ref="D35:E35"/>
    <mergeCell ref="F35:G35"/>
    <mergeCell ref="H35:I35"/>
    <mergeCell ref="J35:K35"/>
    <mergeCell ref="L35:M35"/>
    <mergeCell ref="B39:C39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4347-2659-465C-A5EF-CD136DAD624F}">
  <dimension ref="A1:Y60"/>
  <sheetViews>
    <sheetView topLeftCell="A7" zoomScaleNormal="100" workbookViewId="0">
      <selection activeCell="D2" sqref="D2:W4"/>
    </sheetView>
  </sheetViews>
  <sheetFormatPr defaultRowHeight="15.85" customHeight="1" x14ac:dyDescent="0.45"/>
  <cols>
    <col min="1" max="1" width="1.6640625" style="1" customWidth="1"/>
    <col min="2" max="2" width="27.59765625" style="1" customWidth="1"/>
    <col min="3" max="3" width="10" style="25" customWidth="1"/>
    <col min="4" max="23" width="9.6640625" style="1" customWidth="1"/>
    <col min="24" max="24" width="1.6640625" style="1" customWidth="1"/>
    <col min="25" max="25" width="14.46484375" style="1" customWidth="1"/>
    <col min="26" max="26" width="1.53125" style="1" customWidth="1"/>
    <col min="27" max="16384" width="9.06640625" style="1"/>
  </cols>
  <sheetData>
    <row r="1" spans="1:25" ht="9.4" customHeight="1" thickBot="1" x14ac:dyDescent="0.5">
      <c r="B1" s="9"/>
      <c r="C1" s="24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9"/>
      <c r="W1" s="9"/>
    </row>
    <row r="2" spans="1:25" ht="15.85" customHeight="1" thickTop="1" thickBot="1" x14ac:dyDescent="0.5">
      <c r="A2" s="4"/>
      <c r="B2" s="6" t="s">
        <v>29</v>
      </c>
      <c r="C2" s="11" t="s">
        <v>14</v>
      </c>
      <c r="D2" s="101" t="s">
        <v>55</v>
      </c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2"/>
      <c r="Y2" s="13">
        <v>45891</v>
      </c>
    </row>
    <row r="3" spans="1:25" ht="15.85" customHeight="1" thickTop="1" thickBot="1" x14ac:dyDescent="0.5">
      <c r="A3" s="4"/>
      <c r="B3" s="6" t="str">
        <f>"Stability Asset Fully Diluted Units"</f>
        <v>Stability Asset Fully Diluted Units</v>
      </c>
      <c r="C3" s="14">
        <v>21000000</v>
      </c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2"/>
      <c r="Y3" s="15" t="s">
        <v>25</v>
      </c>
    </row>
    <row r="4" spans="1:25" ht="15.85" customHeight="1" thickTop="1" thickBot="1" x14ac:dyDescent="0.5">
      <c r="A4" s="4"/>
      <c r="B4" s="6" t="s">
        <v>3</v>
      </c>
      <c r="C4" s="11">
        <v>10</v>
      </c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2"/>
      <c r="Y4" s="15"/>
    </row>
    <row r="5" spans="1:25" ht="15.85" customHeight="1" thickTop="1" thickBot="1" x14ac:dyDescent="0.5">
      <c r="A5" s="4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2"/>
    </row>
    <row r="6" spans="1:25" ht="15.75" customHeight="1" thickTop="1" thickBot="1" x14ac:dyDescent="0.5">
      <c r="A6" s="4"/>
      <c r="B6" s="6" t="s">
        <v>24</v>
      </c>
      <c r="C6" s="7">
        <f>$C$4*C8</f>
        <v>1000000</v>
      </c>
      <c r="D6" s="102" t="str">
        <f>"2025 - 2035 : "&amp;$C7*100&amp;"% " &amp; B7</f>
        <v>2025 - 2035 : 30% BTC 10Y CAGR</v>
      </c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2"/>
      <c r="Y6" s="23"/>
    </row>
    <row r="7" spans="1:25" ht="15.85" customHeight="1" thickTop="1" thickBot="1" x14ac:dyDescent="0.5">
      <c r="A7" s="4"/>
      <c r="B7" s="6" t="str">
        <f>$C$2 &amp; " 10Y CAGR"</f>
        <v>BTC 10Y CAGR</v>
      </c>
      <c r="C7" s="16">
        <v>0.3</v>
      </c>
      <c r="D7" s="103" t="s">
        <v>4</v>
      </c>
      <c r="E7" s="103"/>
      <c r="F7" s="103" t="s">
        <v>5</v>
      </c>
      <c r="G7" s="103"/>
      <c r="H7" s="103" t="s">
        <v>6</v>
      </c>
      <c r="I7" s="103"/>
      <c r="J7" s="103" t="s">
        <v>7</v>
      </c>
      <c r="K7" s="103"/>
      <c r="L7" s="103" t="s">
        <v>8</v>
      </c>
      <c r="M7" s="103"/>
      <c r="N7" s="103" t="s">
        <v>9</v>
      </c>
      <c r="O7" s="103"/>
      <c r="P7" s="103" t="s">
        <v>10</v>
      </c>
      <c r="Q7" s="103"/>
      <c r="R7" s="103" t="s">
        <v>11</v>
      </c>
      <c r="S7" s="103"/>
      <c r="T7" s="103" t="s">
        <v>12</v>
      </c>
      <c r="U7" s="103"/>
      <c r="V7" s="103" t="s">
        <v>13</v>
      </c>
      <c r="W7" s="103"/>
      <c r="X7" s="2"/>
      <c r="Y7" s="17"/>
    </row>
    <row r="8" spans="1:25" ht="15.85" customHeight="1" thickTop="1" thickBot="1" x14ac:dyDescent="0.5">
      <c r="A8" s="4"/>
      <c r="B8" s="6" t="str">
        <f>$C$2 &amp; " USD Value"</f>
        <v>BTC USD Value</v>
      </c>
      <c r="C8" s="7">
        <v>100000</v>
      </c>
      <c r="D8" s="104">
        <f>C8*C7+C8</f>
        <v>130000</v>
      </c>
      <c r="E8" s="104"/>
      <c r="F8" s="104">
        <f>D8*C7+D8</f>
        <v>169000</v>
      </c>
      <c r="G8" s="104"/>
      <c r="H8" s="104">
        <f>F8*C7+F8</f>
        <v>219700</v>
      </c>
      <c r="I8" s="104"/>
      <c r="J8" s="104">
        <f>H8*C7+H8</f>
        <v>285610</v>
      </c>
      <c r="K8" s="104"/>
      <c r="L8" s="104">
        <f>J8*C7+J8</f>
        <v>371293</v>
      </c>
      <c r="M8" s="104"/>
      <c r="N8" s="104">
        <f>L8*C7+L8</f>
        <v>482680.9</v>
      </c>
      <c r="O8" s="104"/>
      <c r="P8" s="104">
        <f>N8*C7+N8</f>
        <v>627485.17000000004</v>
      </c>
      <c r="Q8" s="104"/>
      <c r="R8" s="104">
        <f>P8*C7+P8</f>
        <v>815730.72100000002</v>
      </c>
      <c r="S8" s="104"/>
      <c r="T8" s="104">
        <f>R8*C7+R8</f>
        <v>1060449.9373000001</v>
      </c>
      <c r="U8" s="104"/>
      <c r="V8" s="104">
        <f>T8*C7+T8</f>
        <v>1378584.9184900001</v>
      </c>
      <c r="W8" s="104"/>
      <c r="X8" s="2"/>
    </row>
    <row r="9" spans="1:25" ht="15.85" customHeight="1" thickTop="1" thickBot="1" x14ac:dyDescent="0.5">
      <c r="A9" s="4"/>
      <c r="B9" s="6" t="str">
        <f>$C$2 &amp; " USD Marketcap"</f>
        <v>BTC USD Marketcap</v>
      </c>
      <c r="C9" s="18">
        <f>C8*$C$3</f>
        <v>2100000000000</v>
      </c>
      <c r="D9" s="105">
        <f>D8*$C$3</f>
        <v>2730000000000</v>
      </c>
      <c r="E9" s="105"/>
      <c r="F9" s="105">
        <f>F8*$C$3</f>
        <v>3549000000000</v>
      </c>
      <c r="G9" s="105"/>
      <c r="H9" s="105">
        <f>H8*$C$3</f>
        <v>4613700000000</v>
      </c>
      <c r="I9" s="105"/>
      <c r="J9" s="105">
        <f>J8*$C$3</f>
        <v>5997810000000</v>
      </c>
      <c r="K9" s="105"/>
      <c r="L9" s="105">
        <f>L8*$C$3</f>
        <v>7797153000000</v>
      </c>
      <c r="M9" s="105"/>
      <c r="N9" s="105">
        <f>N8*$C$3</f>
        <v>10136298900000</v>
      </c>
      <c r="O9" s="105"/>
      <c r="P9" s="105">
        <f>P8*$C$3</f>
        <v>13177188570000</v>
      </c>
      <c r="Q9" s="105"/>
      <c r="R9" s="105">
        <f>R8*$C$3</f>
        <v>17130345141000</v>
      </c>
      <c r="S9" s="105"/>
      <c r="T9" s="105">
        <f>T8*$C$3</f>
        <v>22269448683300.004</v>
      </c>
      <c r="U9" s="105"/>
      <c r="V9" s="105">
        <f>V8*$C$3</f>
        <v>28950283288290</v>
      </c>
      <c r="W9" s="105"/>
      <c r="X9" s="2"/>
    </row>
    <row r="10" spans="1:25" ht="15.85" customHeight="1" thickTop="1" x14ac:dyDescent="0.45">
      <c r="A10" s="4"/>
      <c r="B10" s="108" t="s">
        <v>17</v>
      </c>
      <c r="C10" s="110" t="s">
        <v>22</v>
      </c>
      <c r="D10" s="106" t="s">
        <v>14</v>
      </c>
      <c r="E10" s="106" t="s">
        <v>15</v>
      </c>
      <c r="F10" s="106" t="s">
        <v>14</v>
      </c>
      <c r="G10" s="106" t="s">
        <v>15</v>
      </c>
      <c r="H10" s="106" t="s">
        <v>14</v>
      </c>
      <c r="I10" s="106" t="s">
        <v>15</v>
      </c>
      <c r="J10" s="106" t="s">
        <v>14</v>
      </c>
      <c r="K10" s="106" t="s">
        <v>15</v>
      </c>
      <c r="L10" s="106" t="s">
        <v>14</v>
      </c>
      <c r="M10" s="106" t="s">
        <v>15</v>
      </c>
      <c r="N10" s="106" t="s">
        <v>14</v>
      </c>
      <c r="O10" s="106" t="s">
        <v>15</v>
      </c>
      <c r="P10" s="106" t="s">
        <v>14</v>
      </c>
      <c r="Q10" s="106" t="s">
        <v>15</v>
      </c>
      <c r="R10" s="106" t="s">
        <v>14</v>
      </c>
      <c r="S10" s="106" t="s">
        <v>15</v>
      </c>
      <c r="T10" s="106" t="s">
        <v>14</v>
      </c>
      <c r="U10" s="106" t="s">
        <v>15</v>
      </c>
      <c r="V10" s="106" t="s">
        <v>14</v>
      </c>
      <c r="W10" s="106" t="s">
        <v>15</v>
      </c>
      <c r="X10" s="2"/>
    </row>
    <row r="11" spans="1:25" ht="15.85" customHeight="1" thickBot="1" x14ac:dyDescent="0.5">
      <c r="A11" s="4"/>
      <c r="B11" s="109"/>
      <c r="C11" s="111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2"/>
    </row>
    <row r="12" spans="1:25" ht="15.85" customHeight="1" thickTop="1" thickBot="1" x14ac:dyDescent="0.5">
      <c r="A12" s="4"/>
      <c r="B12" s="6" t="s">
        <v>56</v>
      </c>
      <c r="C12" s="19">
        <v>0.2</v>
      </c>
      <c r="D12" s="21" t="str">
        <f>TEXT(ROUND(((D$8-$C$8)*$C$4*$C12)/D$8, 2), "0.00")</f>
        <v>0.46</v>
      </c>
      <c r="E12" s="71">
        <f>ROUND(D12 * D$8, 2)</f>
        <v>59800</v>
      </c>
      <c r="F12" s="21" t="str">
        <f>TEXT(ROUND(((F$8-$C$8)*$C$4*$C12)/F$8, 2), "0.00")</f>
        <v>0.82</v>
      </c>
      <c r="G12" s="71">
        <f t="shared" ref="G12:G15" si="0">ROUND(F12 * F$8, 2)</f>
        <v>138580</v>
      </c>
      <c r="H12" s="21" t="str">
        <f>TEXT(ROUND(((H$8-$C$8)*$C$4*$C12)/H$8, 2), "0.00")</f>
        <v>1.09</v>
      </c>
      <c r="I12" s="71">
        <f t="shared" ref="I12:I15" si="1">ROUND(H12 * H$8, 2)</f>
        <v>239473</v>
      </c>
      <c r="J12" s="21" t="str">
        <f>TEXT(ROUND(((J$8-$C$8)*$C$4*$C12)/J$8, 2), "0.00")</f>
        <v>1.30</v>
      </c>
      <c r="K12" s="71">
        <f t="shared" ref="K12:K15" si="2">ROUND(J12 * J$8, 2)</f>
        <v>371293</v>
      </c>
      <c r="L12" s="21" t="str">
        <f>TEXT(ROUND(((L$8-$C$8)*$C$4*$C12)/L$8, 2), "0.00")</f>
        <v>1.46</v>
      </c>
      <c r="M12" s="71">
        <f t="shared" ref="M12:M15" si="3">ROUND(L12 * L$8, 2)</f>
        <v>542087.78</v>
      </c>
      <c r="N12" s="21" t="str">
        <f>TEXT(ROUND(((N$8-$C$8)*$C$4*$C12)/N$8, 2), "0.00")</f>
        <v>1.59</v>
      </c>
      <c r="O12" s="71">
        <f t="shared" ref="O12:O15" si="4">ROUND(N12 * N$8, 2)</f>
        <v>767462.63</v>
      </c>
      <c r="P12" s="21" t="str">
        <f>TEXT(ROUND(((P$8-$C$8)*$C$4*$C12)/P$8, 2), "0.00")</f>
        <v>1.68</v>
      </c>
      <c r="Q12" s="71">
        <f t="shared" ref="Q12:Q15" si="5">ROUND(P12 * P$8, 2)</f>
        <v>1054175.0900000001</v>
      </c>
      <c r="R12" s="21" t="str">
        <f>TEXT(ROUND(((R$8-$C$8)*$C$4*$C12)/R$8, 2), "0.00")</f>
        <v>1.75</v>
      </c>
      <c r="S12" s="71">
        <f t="shared" ref="S12:S15" si="6">ROUND(R12 * R$8, 2)</f>
        <v>1427528.76</v>
      </c>
      <c r="T12" s="21" t="str">
        <f>TEXT(ROUND(((T$8-$C$8)*$C$4*$C12)/T$8, 2), "0.00")</f>
        <v>1.81</v>
      </c>
      <c r="U12" s="71">
        <f t="shared" ref="U12:U15" si="7">ROUND(T12 * T$8, 2)</f>
        <v>1919414.39</v>
      </c>
      <c r="V12" s="21" t="str">
        <f>TEXT(ROUND(((V$8-$C$8)*$C$4*$C12)/V$8, 2), "0.00")</f>
        <v>1.85</v>
      </c>
      <c r="W12" s="71">
        <f t="shared" ref="W12:W15" si="8">ROUND(V12 * V$8, 2)</f>
        <v>2550382.1</v>
      </c>
      <c r="X12" s="2"/>
    </row>
    <row r="13" spans="1:25" ht="15.85" customHeight="1" thickTop="1" thickBot="1" x14ac:dyDescent="0.5">
      <c r="A13" s="4"/>
      <c r="B13" s="6" t="s">
        <v>1</v>
      </c>
      <c r="C13" s="19">
        <v>0.3</v>
      </c>
      <c r="D13" s="21" t="str">
        <f>TEXT(ROUND(((D$8-$C$8)*$C$4*$C13)/D$8, 2), "0.00")</f>
        <v>0.69</v>
      </c>
      <c r="E13" s="71">
        <f>ROUND(D13 * D$8, 2)</f>
        <v>89700</v>
      </c>
      <c r="F13" s="21" t="str">
        <f>TEXT(ROUND(((F$8-$C$8)*$C$4*$C13)/F$8, 2), "0.00")</f>
        <v>1.22</v>
      </c>
      <c r="G13" s="71">
        <f t="shared" si="0"/>
        <v>206180</v>
      </c>
      <c r="H13" s="21" t="str">
        <f>TEXT(ROUND(((H$8-$C$8)*$C$4*$C13)/H$8, 2), "0.00")</f>
        <v>1.63</v>
      </c>
      <c r="I13" s="71">
        <f t="shared" si="1"/>
        <v>358111</v>
      </c>
      <c r="J13" s="21" t="str">
        <f>TEXT(ROUND(((J$8-$C$8)*$C$4*$C13)/J$8, 2), "0.00")</f>
        <v>1.95</v>
      </c>
      <c r="K13" s="71">
        <f t="shared" si="2"/>
        <v>556939.5</v>
      </c>
      <c r="L13" s="21" t="str">
        <f>TEXT(ROUND(((L$8-$C$8)*$C$4*$C13)/L$8, 2), "0.00")</f>
        <v>2.19</v>
      </c>
      <c r="M13" s="71">
        <f t="shared" si="3"/>
        <v>813131.67</v>
      </c>
      <c r="N13" s="21" t="str">
        <f>TEXT(ROUND(((N$8-$C$8)*$C$4*$C13)/N$8, 2), "0.00")</f>
        <v>2.38</v>
      </c>
      <c r="O13" s="71">
        <f t="shared" si="4"/>
        <v>1148780.54</v>
      </c>
      <c r="P13" s="21" t="str">
        <f>TEXT(ROUND(((P$8-$C$8)*$C$4*$C13)/P$8, 2), "0.00")</f>
        <v>2.52</v>
      </c>
      <c r="Q13" s="71">
        <f t="shared" si="5"/>
        <v>1581262.63</v>
      </c>
      <c r="R13" s="21" t="str">
        <f>TEXT(ROUND(((R$8-$C$8)*$C$4*$C13)/R$8, 2), "0.00")</f>
        <v>2.63</v>
      </c>
      <c r="S13" s="71">
        <f t="shared" si="6"/>
        <v>2145371.7999999998</v>
      </c>
      <c r="T13" s="21" t="str">
        <f>TEXT(ROUND(((T$8-$C$8)*$C$4*$C13)/T$8, 2), "0.00")</f>
        <v>2.72</v>
      </c>
      <c r="U13" s="71">
        <f t="shared" si="7"/>
        <v>2884423.83</v>
      </c>
      <c r="V13" s="21" t="str">
        <f>TEXT(ROUND(((V$8-$C$8)*$C$4*$C13)/V$8, 2), "0.00")</f>
        <v>2.78</v>
      </c>
      <c r="W13" s="71">
        <f t="shared" si="8"/>
        <v>3832466.07</v>
      </c>
      <c r="X13" s="2"/>
    </row>
    <row r="14" spans="1:25" ht="15.85" customHeight="1" thickTop="1" thickBot="1" x14ac:dyDescent="0.5">
      <c r="A14" s="4"/>
      <c r="B14" s="6" t="s">
        <v>2</v>
      </c>
      <c r="C14" s="19">
        <v>0.5</v>
      </c>
      <c r="D14" s="21" t="str">
        <f>TEXT(ROUND(((D$8-$C$8)*$C$4*$C14)/D$8, 2), "0.00")</f>
        <v>1.15</v>
      </c>
      <c r="E14" s="71">
        <f>ROUND(D14 * D$8, 2)</f>
        <v>149500</v>
      </c>
      <c r="F14" s="21" t="str">
        <f>TEXT(ROUND(((F$8-$C$8)*$C$4*$C14)/F$8, 2), "0.00")</f>
        <v>2.04</v>
      </c>
      <c r="G14" s="71">
        <f t="shared" si="0"/>
        <v>344760</v>
      </c>
      <c r="H14" s="21" t="str">
        <f>TEXT(ROUND(((H$8-$C$8)*$C$4*$C14)/H$8, 2), "0.00")</f>
        <v>2.72</v>
      </c>
      <c r="I14" s="71">
        <f t="shared" si="1"/>
        <v>597584</v>
      </c>
      <c r="J14" s="21" t="str">
        <f>TEXT(ROUND(((J$8-$C$8)*$C$4*$C14)/J$8, 2), "0.00")</f>
        <v>3.25</v>
      </c>
      <c r="K14" s="71">
        <f t="shared" si="2"/>
        <v>928232.5</v>
      </c>
      <c r="L14" s="21" t="str">
        <f>TEXT(ROUND(((L$8-$C$8)*$C$4*$C14)/L$8, 2), "0.00")</f>
        <v>3.65</v>
      </c>
      <c r="M14" s="71">
        <f t="shared" si="3"/>
        <v>1355219.45</v>
      </c>
      <c r="N14" s="21" t="str">
        <f>TEXT(ROUND(((N$8-$C$8)*$C$4*$C14)/N$8, 2), "0.00")</f>
        <v>3.96</v>
      </c>
      <c r="O14" s="71">
        <f t="shared" si="4"/>
        <v>1911416.36</v>
      </c>
      <c r="P14" s="21" t="str">
        <f>TEXT(ROUND(((P$8-$C$8)*$C$4*$C14)/P$8, 2), "0.00")</f>
        <v>4.20</v>
      </c>
      <c r="Q14" s="71">
        <f t="shared" si="5"/>
        <v>2635437.71</v>
      </c>
      <c r="R14" s="21" t="str">
        <f>TEXT(ROUND(((R$8-$C$8)*$C$4*$C14)/R$8, 2), "0.00")</f>
        <v>4.39</v>
      </c>
      <c r="S14" s="71">
        <f t="shared" si="6"/>
        <v>3581057.87</v>
      </c>
      <c r="T14" s="21" t="str">
        <f>TEXT(ROUND(((T$8-$C$8)*$C$4*$C14)/T$8, 2), "0.00")</f>
        <v>4.53</v>
      </c>
      <c r="U14" s="71">
        <f t="shared" si="7"/>
        <v>4803838.22</v>
      </c>
      <c r="V14" s="21" t="str">
        <f>TEXT(ROUND(((V$8-$C$8)*$C$4*$C14)/V$8, 2), "0.00")</f>
        <v>4.64</v>
      </c>
      <c r="W14" s="71">
        <f t="shared" si="8"/>
        <v>6396634.0199999996</v>
      </c>
      <c r="X14" s="2"/>
    </row>
    <row r="15" spans="1:25" ht="15.85" customHeight="1" thickTop="1" thickBot="1" x14ac:dyDescent="0.5">
      <c r="A15" s="4"/>
      <c r="B15" s="6" t="s">
        <v>0</v>
      </c>
      <c r="C15" s="19">
        <f>SUM(C12:C14)</f>
        <v>1</v>
      </c>
      <c r="D15" s="21" t="str">
        <f>TEXT(ROUND(((D$8-$C$8)*$C$4*$C15)/D$8, 2), "0.00")</f>
        <v>2.31</v>
      </c>
      <c r="E15" s="71">
        <f>ROUND(D15 * D$8, 2)</f>
        <v>300300</v>
      </c>
      <c r="F15" s="21" t="str">
        <f>TEXT(ROUND(((F$8-$C$8)*$C$4*$C15)/F$8, 2), "0.00")</f>
        <v>4.08</v>
      </c>
      <c r="G15" s="71">
        <f t="shared" si="0"/>
        <v>689520</v>
      </c>
      <c r="H15" s="21" t="str">
        <f>TEXT(ROUND(((H$8-$C$8)*$C$4*$C15)/H$8, 2), "0.00")</f>
        <v>5.45</v>
      </c>
      <c r="I15" s="71">
        <f t="shared" si="1"/>
        <v>1197365</v>
      </c>
      <c r="J15" s="21" t="str">
        <f>TEXT(ROUND(((J$8-$C$8)*$C$4*$C15)/J$8, 2), "0.00")</f>
        <v>6.50</v>
      </c>
      <c r="K15" s="71">
        <f t="shared" si="2"/>
        <v>1856465</v>
      </c>
      <c r="L15" s="21" t="str">
        <f>TEXT(ROUND(((L$8-$C$8)*$C$4*$C15)/L$8, 2), "0.00")</f>
        <v>7.31</v>
      </c>
      <c r="M15" s="71">
        <f t="shared" si="3"/>
        <v>2714151.83</v>
      </c>
      <c r="N15" s="21" t="str">
        <f>TEXT(ROUND(((N$8-$C$8)*$C$4*$C15)/N$8, 2), "0.00")</f>
        <v>7.93</v>
      </c>
      <c r="O15" s="71">
        <f t="shared" si="4"/>
        <v>3827659.54</v>
      </c>
      <c r="P15" s="21" t="str">
        <f>TEXT(ROUND(((P$8-$C$8)*$C$4*$C15)/P$8, 2), "0.00")</f>
        <v>8.41</v>
      </c>
      <c r="Q15" s="71">
        <f t="shared" si="5"/>
        <v>5277150.28</v>
      </c>
      <c r="R15" s="21" t="str">
        <f>TEXT(ROUND(((R$8-$C$8)*$C$4*$C15)/R$8, 2), "0.00")</f>
        <v>8.77</v>
      </c>
      <c r="S15" s="71">
        <f t="shared" si="6"/>
        <v>7153958.4199999999</v>
      </c>
      <c r="T15" s="21" t="str">
        <f>TEXT(ROUND(((T$8-$C$8)*$C$4*$C15)/T$8, 2), "0.00")</f>
        <v>9.06</v>
      </c>
      <c r="U15" s="71">
        <f t="shared" si="7"/>
        <v>9607676.4299999997</v>
      </c>
      <c r="V15" s="21" t="str">
        <f>TEXT(ROUND(((V$8-$C$8)*$C$4*$C15)/V$8, 2), "0.00")</f>
        <v>9.27</v>
      </c>
      <c r="W15" s="71">
        <f t="shared" si="8"/>
        <v>12779482.189999999</v>
      </c>
      <c r="X15" s="2"/>
      <c r="Y15" s="9"/>
    </row>
    <row r="16" spans="1:25" ht="15.85" customHeight="1" thickTop="1" thickBot="1" x14ac:dyDescent="0.5">
      <c r="A16" s="4"/>
      <c r="B16" s="113" t="s">
        <v>40</v>
      </c>
      <c r="C16" s="113"/>
      <c r="D16" s="114" t="s">
        <v>16</v>
      </c>
      <c r="E16" s="114"/>
      <c r="F16" s="114"/>
      <c r="G16" s="114"/>
      <c r="H16" s="114"/>
      <c r="I16" s="114"/>
      <c r="J16" s="114"/>
      <c r="K16" s="114"/>
      <c r="L16" s="114"/>
      <c r="M16" s="114"/>
      <c r="N16" s="114" t="s">
        <v>42</v>
      </c>
      <c r="O16" s="114"/>
      <c r="P16" s="114"/>
      <c r="Q16" s="114"/>
      <c r="R16" s="114"/>
      <c r="S16" s="114"/>
      <c r="T16" s="114"/>
      <c r="U16" s="114"/>
      <c r="V16" s="114"/>
      <c r="W16" s="114"/>
      <c r="X16" s="12"/>
      <c r="Y16" s="8" t="s">
        <v>27</v>
      </c>
    </row>
    <row r="17" spans="1:25" ht="15.85" customHeight="1" thickTop="1" thickBot="1" x14ac:dyDescent="0.5">
      <c r="A17" s="4"/>
      <c r="B17" s="113"/>
      <c r="C17" s="113"/>
      <c r="D17" s="103" t="s">
        <v>26</v>
      </c>
      <c r="E17" s="103"/>
      <c r="F17" s="103" t="s">
        <v>18</v>
      </c>
      <c r="G17" s="103"/>
      <c r="H17" s="103" t="s">
        <v>19</v>
      </c>
      <c r="I17" s="103"/>
      <c r="J17" s="103" t="s">
        <v>20</v>
      </c>
      <c r="K17" s="103"/>
      <c r="L17" s="103" t="s">
        <v>21</v>
      </c>
      <c r="M17" s="103"/>
      <c r="N17" s="103" t="s">
        <v>26</v>
      </c>
      <c r="O17" s="103"/>
      <c r="P17" s="103" t="s">
        <v>18</v>
      </c>
      <c r="Q17" s="103"/>
      <c r="R17" s="103" t="s">
        <v>19</v>
      </c>
      <c r="S17" s="103"/>
      <c r="T17" s="103" t="s">
        <v>20</v>
      </c>
      <c r="U17" s="103"/>
      <c r="V17" s="103" t="s">
        <v>21</v>
      </c>
      <c r="W17" s="103"/>
      <c r="X17" s="12"/>
      <c r="Y17" s="112" t="s">
        <v>41</v>
      </c>
    </row>
    <row r="18" spans="1:25" ht="15.85" customHeight="1" thickTop="1" thickBot="1" x14ac:dyDescent="0.5">
      <c r="A18" s="4"/>
      <c r="B18" s="113"/>
      <c r="C18" s="113"/>
      <c r="D18" s="5" t="s">
        <v>14</v>
      </c>
      <c r="E18" s="5" t="s">
        <v>15</v>
      </c>
      <c r="F18" s="5" t="s">
        <v>14</v>
      </c>
      <c r="G18" s="5" t="s">
        <v>15</v>
      </c>
      <c r="H18" s="5" t="s">
        <v>14</v>
      </c>
      <c r="I18" s="5" t="s">
        <v>15</v>
      </c>
      <c r="J18" s="5" t="s">
        <v>14</v>
      </c>
      <c r="K18" s="5" t="s">
        <v>15</v>
      </c>
      <c r="L18" s="5" t="s">
        <v>14</v>
      </c>
      <c r="M18" s="5" t="s">
        <v>15</v>
      </c>
      <c r="N18" s="5" t="s">
        <v>14</v>
      </c>
      <c r="O18" s="5" t="s">
        <v>15</v>
      </c>
      <c r="P18" s="5" t="s">
        <v>14</v>
      </c>
      <c r="Q18" s="5" t="s">
        <v>15</v>
      </c>
      <c r="R18" s="5" t="s">
        <v>14</v>
      </c>
      <c r="S18" s="5" t="s">
        <v>15</v>
      </c>
      <c r="T18" s="5" t="s">
        <v>14</v>
      </c>
      <c r="U18" s="5" t="s">
        <v>15</v>
      </c>
      <c r="V18" s="5" t="s">
        <v>14</v>
      </c>
      <c r="W18" s="5" t="s">
        <v>15</v>
      </c>
      <c r="X18" s="12"/>
      <c r="Y18" s="112"/>
    </row>
    <row r="19" spans="1:25" ht="15.85" customHeight="1" thickTop="1" thickBot="1" x14ac:dyDescent="0.5">
      <c r="A19" s="4"/>
      <c r="B19" s="115" t="s">
        <v>56</v>
      </c>
      <c r="C19" s="115"/>
      <c r="D19" s="69" t="str">
        <f>TEXT(ROUND(L12/$C$4/5*100, 2), "0.00") &amp; "%"</f>
        <v>2.92%</v>
      </c>
      <c r="E19" s="70" t="str">
        <f>TEXT(ROUND(M12/$C$6/5*100, 2), "0.00") &amp; "%"</f>
        <v>10.84%</v>
      </c>
      <c r="F19" s="21">
        <f>ROUND($L12/5, 2)</f>
        <v>0.28999999999999998</v>
      </c>
      <c r="G19" s="71">
        <f>$M12/5</f>
        <v>108417.55600000001</v>
      </c>
      <c r="H19" s="21">
        <f>F19*10</f>
        <v>2.9</v>
      </c>
      <c r="I19" s="71">
        <f>G19*10</f>
        <v>1084175.56</v>
      </c>
      <c r="J19" s="21">
        <f t="shared" ref="J19:M22" si="9">H19*10</f>
        <v>29</v>
      </c>
      <c r="K19" s="71">
        <f t="shared" si="9"/>
        <v>10841755.600000001</v>
      </c>
      <c r="L19" s="21">
        <f t="shared" si="9"/>
        <v>290</v>
      </c>
      <c r="M19" s="71">
        <f t="shared" si="9"/>
        <v>108417556.00000001</v>
      </c>
      <c r="N19" s="69" t="str">
        <f>TEXT(ROUND((V12-L12)/$C$4/5*100, 2), "0.00") &amp; "%"</f>
        <v>0.78%</v>
      </c>
      <c r="O19" s="70" t="str">
        <f>TEXT(ROUND((W12-M12)/$C$6/5*100, 2), "0.00") &amp; "%"</f>
        <v>40.17%</v>
      </c>
      <c r="P19" s="21">
        <f>ROUND(($V12-$L12)/5, 2)</f>
        <v>0.08</v>
      </c>
      <c r="Q19" s="71">
        <f>ROUND(($W12-$M12)/5, 2)</f>
        <v>401658.86</v>
      </c>
      <c r="R19" s="21">
        <f>P19*10</f>
        <v>0.8</v>
      </c>
      <c r="S19" s="71">
        <f>Q19*10</f>
        <v>4016588.5999999996</v>
      </c>
      <c r="T19" s="21">
        <f t="shared" ref="T19:W22" si="10">R19*10</f>
        <v>8</v>
      </c>
      <c r="U19" s="71">
        <f t="shared" si="10"/>
        <v>40165886</v>
      </c>
      <c r="V19" s="21">
        <f t="shared" si="10"/>
        <v>80</v>
      </c>
      <c r="W19" s="71">
        <f t="shared" si="10"/>
        <v>401658860</v>
      </c>
      <c r="X19" s="12"/>
      <c r="Y19" s="21" t="str">
        <f>TEXT(ROUND(V12/$C$4/10*100, 2), "0.00") &amp; "%"</f>
        <v>1.85%</v>
      </c>
    </row>
    <row r="20" spans="1:25" ht="15.85" customHeight="1" thickTop="1" thickBot="1" x14ac:dyDescent="0.5">
      <c r="A20" s="4"/>
      <c r="B20" s="115" t="s">
        <v>1</v>
      </c>
      <c r="C20" s="115"/>
      <c r="D20" s="69" t="str">
        <f>TEXT(ROUND(L13/$C$4/5*100, 2), "0.00") &amp; "%"</f>
        <v>4.38%</v>
      </c>
      <c r="E20" s="70" t="str">
        <f>TEXT(ROUND(M13/$C$6/5*100, 2), "0.00") &amp; "%"</f>
        <v>16.26%</v>
      </c>
      <c r="F20" s="21">
        <f t="shared" ref="F20:F22" si="11">ROUND($L13/5, 2)</f>
        <v>0.44</v>
      </c>
      <c r="G20" s="71">
        <f t="shared" ref="G20:G21" si="12">ROUND($M13/5, 2)</f>
        <v>162626.32999999999</v>
      </c>
      <c r="H20" s="21">
        <f t="shared" ref="H20:I22" si="13">F20*10</f>
        <v>4.4000000000000004</v>
      </c>
      <c r="I20" s="71">
        <f t="shared" si="13"/>
        <v>1626263.2999999998</v>
      </c>
      <c r="J20" s="21">
        <f t="shared" si="9"/>
        <v>44</v>
      </c>
      <c r="K20" s="71">
        <f t="shared" si="9"/>
        <v>16262632.999999998</v>
      </c>
      <c r="L20" s="21">
        <f t="shared" si="9"/>
        <v>440</v>
      </c>
      <c r="M20" s="71">
        <f t="shared" si="9"/>
        <v>162626329.99999997</v>
      </c>
      <c r="N20" s="69" t="str">
        <f>TEXT(ROUND((V13-L13)/$C$4/5*100, 2), "0.00") &amp; "%"</f>
        <v>1.18%</v>
      </c>
      <c r="O20" s="70" t="str">
        <f>TEXT(ROUND((W13-M13)/$C$6/5*100, 2), "0.00") &amp; "%"</f>
        <v>60.39%</v>
      </c>
      <c r="P20" s="21">
        <f>ROUND(($V13-$L13)/5, 2)</f>
        <v>0.12</v>
      </c>
      <c r="Q20" s="71">
        <f>ROUND(($W13-$M13)/5, 2)</f>
        <v>603866.88</v>
      </c>
      <c r="R20" s="21">
        <f t="shared" ref="R20:S22" si="14">P20*10</f>
        <v>1.2</v>
      </c>
      <c r="S20" s="71">
        <f t="shared" si="14"/>
        <v>6038668.7999999998</v>
      </c>
      <c r="T20" s="21">
        <f t="shared" si="10"/>
        <v>12</v>
      </c>
      <c r="U20" s="71">
        <f t="shared" si="10"/>
        <v>60386688</v>
      </c>
      <c r="V20" s="21">
        <f t="shared" si="10"/>
        <v>120</v>
      </c>
      <c r="W20" s="71">
        <f t="shared" si="10"/>
        <v>603866880</v>
      </c>
      <c r="X20" s="12"/>
      <c r="Y20" s="22" t="str">
        <f>TEXT(ROUND(W13/$C6/10*100, 2), "0.00") &amp; "%"</f>
        <v>38.32%</v>
      </c>
    </row>
    <row r="21" spans="1:25" ht="15.85" customHeight="1" thickTop="1" thickBot="1" x14ac:dyDescent="0.5">
      <c r="A21" s="4"/>
      <c r="B21" s="115" t="s">
        <v>2</v>
      </c>
      <c r="C21" s="115"/>
      <c r="D21" s="69" t="str">
        <f>TEXT(ROUND(L14/$C$4/5*100, 2), "0.00") &amp; "%"</f>
        <v>7.30%</v>
      </c>
      <c r="E21" s="70" t="str">
        <f>TEXT(ROUND(M14/$C$6/5*100, 2), "0.00") &amp; "%"</f>
        <v>27.10%</v>
      </c>
      <c r="F21" s="21">
        <f t="shared" si="11"/>
        <v>0.73</v>
      </c>
      <c r="G21" s="71">
        <f t="shared" si="12"/>
        <v>271043.89</v>
      </c>
      <c r="H21" s="21">
        <f t="shared" si="13"/>
        <v>7.3</v>
      </c>
      <c r="I21" s="71">
        <f t="shared" si="13"/>
        <v>2710438.9000000004</v>
      </c>
      <c r="J21" s="21">
        <f t="shared" si="9"/>
        <v>73</v>
      </c>
      <c r="K21" s="71">
        <f t="shared" si="9"/>
        <v>27104389.000000004</v>
      </c>
      <c r="L21" s="21">
        <f t="shared" si="9"/>
        <v>730</v>
      </c>
      <c r="M21" s="71">
        <f t="shared" si="9"/>
        <v>271043890.00000006</v>
      </c>
      <c r="N21" s="69" t="str">
        <f>TEXT(ROUND((V14-L14)/$C$4/5*100, 2), "0.00") &amp; "%"</f>
        <v>1.98%</v>
      </c>
      <c r="O21" s="70" t="str">
        <f>TEXT(ROUND((W14-M14)/$C$6/5*100, 2), "0.00") &amp; "%"</f>
        <v>100.83%</v>
      </c>
      <c r="P21" s="21">
        <f>ROUND(($V14-$L14)/5, 2)</f>
        <v>0.2</v>
      </c>
      <c r="Q21" s="71">
        <f>ROUND(($W14-$M14)/5, 2)</f>
        <v>1008282.91</v>
      </c>
      <c r="R21" s="21">
        <f t="shared" si="14"/>
        <v>2</v>
      </c>
      <c r="S21" s="71">
        <f t="shared" si="14"/>
        <v>10082829.1</v>
      </c>
      <c r="T21" s="21">
        <f t="shared" si="10"/>
        <v>20</v>
      </c>
      <c r="U21" s="71">
        <f t="shared" si="10"/>
        <v>100828291</v>
      </c>
      <c r="V21" s="21">
        <f t="shared" si="10"/>
        <v>200</v>
      </c>
      <c r="W21" s="71">
        <f t="shared" si="10"/>
        <v>1008282910</v>
      </c>
      <c r="X21" s="12"/>
      <c r="Y21" s="21" t="str">
        <f>TEXT(ROUND(V14/$C$4/10*100, 2), "0.00") &amp; "%"</f>
        <v>4.64%</v>
      </c>
    </row>
    <row r="22" spans="1:25" ht="15.85" customHeight="1" thickTop="1" thickBot="1" x14ac:dyDescent="0.5">
      <c r="A22" s="4"/>
      <c r="B22" s="115" t="s">
        <v>0</v>
      </c>
      <c r="C22" s="115"/>
      <c r="D22" s="69" t="str">
        <f>TEXT(ROUND(L15/$C$4/5*100, 2), "0.00") &amp; "%"</f>
        <v>14.62%</v>
      </c>
      <c r="E22" s="70" t="str">
        <f>TEXT(ROUND(M15/$C$6/5*100, 2), "0.00") &amp; "%"</f>
        <v>54.28%</v>
      </c>
      <c r="F22" s="21">
        <f t="shared" si="11"/>
        <v>1.46</v>
      </c>
      <c r="G22" s="71">
        <f>ROUND($M15/5, 2)</f>
        <v>542830.37</v>
      </c>
      <c r="H22" s="21">
        <f t="shared" si="13"/>
        <v>14.6</v>
      </c>
      <c r="I22" s="71">
        <f t="shared" si="13"/>
        <v>5428303.7000000002</v>
      </c>
      <c r="J22" s="21">
        <f t="shared" si="9"/>
        <v>146</v>
      </c>
      <c r="K22" s="71">
        <f t="shared" si="9"/>
        <v>54283037</v>
      </c>
      <c r="L22" s="21">
        <f t="shared" si="9"/>
        <v>1460</v>
      </c>
      <c r="M22" s="71">
        <f t="shared" si="9"/>
        <v>542830370</v>
      </c>
      <c r="N22" s="69" t="str">
        <f>TEXT(ROUND((V15-L15)/$C$4/5*100, 2), "0.00") &amp; "%"</f>
        <v>3.92%</v>
      </c>
      <c r="O22" s="70" t="str">
        <f>TEXT(ROUND((W15-M15)/$C$6/5*100, 2), "0.00") &amp; "%"</f>
        <v>201.31%</v>
      </c>
      <c r="P22" s="21">
        <f>ROUND(($V15-$L15)/5, 2)</f>
        <v>0.39</v>
      </c>
      <c r="Q22" s="71">
        <f>ROUND(($W15-$M15)/5, 2)</f>
        <v>2013066.07</v>
      </c>
      <c r="R22" s="21">
        <f t="shared" si="14"/>
        <v>3.9000000000000004</v>
      </c>
      <c r="S22" s="71">
        <f t="shared" si="14"/>
        <v>20130660.699999999</v>
      </c>
      <c r="T22" s="21">
        <f t="shared" si="10"/>
        <v>39</v>
      </c>
      <c r="U22" s="71">
        <f t="shared" si="10"/>
        <v>201306607</v>
      </c>
      <c r="V22" s="21">
        <f t="shared" si="10"/>
        <v>390</v>
      </c>
      <c r="W22" s="71">
        <f t="shared" si="10"/>
        <v>2013066070</v>
      </c>
      <c r="X22" s="2"/>
      <c r="Y22" s="20"/>
    </row>
    <row r="23" spans="1:25" ht="15.85" customHeight="1" thickTop="1" thickBot="1" x14ac:dyDescent="0.5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5" ht="15.75" customHeight="1" thickTop="1" thickBot="1" x14ac:dyDescent="0.5">
      <c r="A24" s="4"/>
      <c r="B24" s="6" t="s">
        <v>24</v>
      </c>
      <c r="C24" s="7">
        <f>$C$4*C26</f>
        <v>13785849.184900001</v>
      </c>
      <c r="D24" s="102" t="str">
        <f>"2035 - 2045 : "&amp;$C25*100&amp;"% " &amp; B25</f>
        <v>2035 - 2045 : 30% BTC 10Y CAGR</v>
      </c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2"/>
    </row>
    <row r="25" spans="1:25" ht="15.85" customHeight="1" thickTop="1" thickBot="1" x14ac:dyDescent="0.5">
      <c r="A25" s="4"/>
      <c r="B25" s="6" t="str">
        <f>$C$2 &amp; " 10Y CAGR"</f>
        <v>BTC 10Y CAGR</v>
      </c>
      <c r="C25" s="16">
        <v>0.3</v>
      </c>
      <c r="D25" s="103" t="s">
        <v>4</v>
      </c>
      <c r="E25" s="103"/>
      <c r="F25" s="103" t="s">
        <v>5</v>
      </c>
      <c r="G25" s="103"/>
      <c r="H25" s="103" t="s">
        <v>6</v>
      </c>
      <c r="I25" s="103"/>
      <c r="J25" s="103" t="s">
        <v>7</v>
      </c>
      <c r="K25" s="103"/>
      <c r="L25" s="103" t="s">
        <v>8</v>
      </c>
      <c r="M25" s="103"/>
      <c r="N25" s="103" t="s">
        <v>9</v>
      </c>
      <c r="O25" s="103"/>
      <c r="P25" s="103" t="s">
        <v>10</v>
      </c>
      <c r="Q25" s="103"/>
      <c r="R25" s="103" t="s">
        <v>11</v>
      </c>
      <c r="S25" s="103"/>
      <c r="T25" s="103" t="s">
        <v>12</v>
      </c>
      <c r="U25" s="103"/>
      <c r="V25" s="103" t="s">
        <v>13</v>
      </c>
      <c r="W25" s="103"/>
      <c r="X25" s="2"/>
    </row>
    <row r="26" spans="1:25" ht="15.85" customHeight="1" thickTop="1" thickBot="1" x14ac:dyDescent="0.5">
      <c r="A26" s="4"/>
      <c r="B26" s="6" t="str">
        <f>$C$2 &amp; " USD Value"</f>
        <v>BTC USD Value</v>
      </c>
      <c r="C26" s="7">
        <f>V8</f>
        <v>1378584.9184900001</v>
      </c>
      <c r="D26" s="104">
        <f>C26*C25+C26</f>
        <v>1792160.3940370001</v>
      </c>
      <c r="E26" s="104"/>
      <c r="F26" s="104">
        <f>D26*C25+D26</f>
        <v>2329808.5122481002</v>
      </c>
      <c r="G26" s="104"/>
      <c r="H26" s="104">
        <f>F26*$C25+F26</f>
        <v>3028751.0659225304</v>
      </c>
      <c r="I26" s="104"/>
      <c r="J26" s="104">
        <f>H26*$C25+H26</f>
        <v>3937376.3856992894</v>
      </c>
      <c r="K26" s="104"/>
      <c r="L26" s="104">
        <f>J26*$C25+J26</f>
        <v>5118589.301409076</v>
      </c>
      <c r="M26" s="104"/>
      <c r="N26" s="104">
        <f>L26*$C25+L26</f>
        <v>6654166.0918317987</v>
      </c>
      <c r="O26" s="104"/>
      <c r="P26" s="104">
        <f>N26*$C25+N26</f>
        <v>8650415.9193813391</v>
      </c>
      <c r="Q26" s="104"/>
      <c r="R26" s="104">
        <f>P26*$C25+P26</f>
        <v>11245540.69519574</v>
      </c>
      <c r="S26" s="104"/>
      <c r="T26" s="104">
        <f>R26*$C25+R26</f>
        <v>14619202.903754462</v>
      </c>
      <c r="U26" s="104"/>
      <c r="V26" s="104">
        <f>T26*$C25+T26</f>
        <v>19004963.7748808</v>
      </c>
      <c r="W26" s="104"/>
      <c r="X26" s="2"/>
    </row>
    <row r="27" spans="1:25" ht="15.85" customHeight="1" thickTop="1" thickBot="1" x14ac:dyDescent="0.5">
      <c r="A27" s="4"/>
      <c r="B27" s="6" t="str">
        <f>$C$2 &amp; " USD Marketcap"</f>
        <v>BTC USD Marketcap</v>
      </c>
      <c r="C27" s="18">
        <f>C26*21000000</f>
        <v>28950283288290</v>
      </c>
      <c r="D27" s="105">
        <f>D26*21000000</f>
        <v>37635368274777</v>
      </c>
      <c r="E27" s="105"/>
      <c r="F27" s="105">
        <f>F26*21000000</f>
        <v>48925978757210.102</v>
      </c>
      <c r="G27" s="105"/>
      <c r="H27" s="105">
        <f>H26*21000000</f>
        <v>63603772384373.141</v>
      </c>
      <c r="I27" s="105"/>
      <c r="J27" s="105">
        <f>J26*21000000</f>
        <v>82684904099685.078</v>
      </c>
      <c r="K27" s="105"/>
      <c r="L27" s="105">
        <f>L26*21000000</f>
        <v>107490375329590.59</v>
      </c>
      <c r="M27" s="105"/>
      <c r="N27" s="105">
        <f>N26*21000000</f>
        <v>139737487928467.77</v>
      </c>
      <c r="O27" s="105"/>
      <c r="P27" s="105">
        <f>P26*21000000</f>
        <v>181658734307008.13</v>
      </c>
      <c r="Q27" s="105"/>
      <c r="R27" s="105">
        <f>R26*21000000</f>
        <v>236156354599110.53</v>
      </c>
      <c r="S27" s="105"/>
      <c r="T27" s="105">
        <f>T26*21000000</f>
        <v>307003260978843.69</v>
      </c>
      <c r="U27" s="105"/>
      <c r="V27" s="105">
        <f>V26*21000000</f>
        <v>399104239272496.81</v>
      </c>
      <c r="W27" s="105"/>
      <c r="X27" s="2"/>
    </row>
    <row r="28" spans="1:25" ht="15.75" customHeight="1" thickTop="1" x14ac:dyDescent="0.45">
      <c r="A28" s="4"/>
      <c r="B28" s="108" t="s">
        <v>17</v>
      </c>
      <c r="C28" s="110" t="s">
        <v>22</v>
      </c>
      <c r="D28" s="106" t="s">
        <v>14</v>
      </c>
      <c r="E28" s="106" t="s">
        <v>15</v>
      </c>
      <c r="F28" s="106" t="s">
        <v>14</v>
      </c>
      <c r="G28" s="106" t="s">
        <v>15</v>
      </c>
      <c r="H28" s="106" t="s">
        <v>14</v>
      </c>
      <c r="I28" s="106" t="s">
        <v>15</v>
      </c>
      <c r="J28" s="106" t="s">
        <v>14</v>
      </c>
      <c r="K28" s="106" t="s">
        <v>15</v>
      </c>
      <c r="L28" s="106" t="s">
        <v>14</v>
      </c>
      <c r="M28" s="106" t="s">
        <v>15</v>
      </c>
      <c r="N28" s="106" t="s">
        <v>14</v>
      </c>
      <c r="O28" s="106" t="s">
        <v>15</v>
      </c>
      <c r="P28" s="106" t="s">
        <v>14</v>
      </c>
      <c r="Q28" s="106" t="s">
        <v>15</v>
      </c>
      <c r="R28" s="106" t="s">
        <v>14</v>
      </c>
      <c r="S28" s="106" t="s">
        <v>15</v>
      </c>
      <c r="T28" s="106" t="s">
        <v>14</v>
      </c>
      <c r="U28" s="106" t="s">
        <v>15</v>
      </c>
      <c r="V28" s="106" t="s">
        <v>14</v>
      </c>
      <c r="W28" s="106" t="s">
        <v>15</v>
      </c>
      <c r="X28" s="2"/>
    </row>
    <row r="29" spans="1:25" ht="15.75" customHeight="1" thickBot="1" x14ac:dyDescent="0.5">
      <c r="A29" s="4"/>
      <c r="B29" s="109"/>
      <c r="C29" s="111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2"/>
    </row>
    <row r="30" spans="1:25" ht="15.85" customHeight="1" thickTop="1" thickBot="1" x14ac:dyDescent="0.5">
      <c r="A30" s="4"/>
      <c r="B30" s="6" t="s">
        <v>56</v>
      </c>
      <c r="C30" s="19">
        <v>0.2</v>
      </c>
      <c r="D30" s="21" t="str">
        <f>TEXT(ROUND(((D$26-$C$26)*$C$4*$C30)/D$26, 2), "0.00")</f>
        <v>0.46</v>
      </c>
      <c r="E30" s="71">
        <f>ROUND(D30 * D$26, 2)</f>
        <v>824393.78</v>
      </c>
      <c r="F30" s="21" t="str">
        <f>TEXT(ROUND(((F$26-$C$26)*$C$4*$C30)/F$26, 2), "0.00")</f>
        <v>0.82</v>
      </c>
      <c r="G30" s="71">
        <f t="shared" ref="G30" si="15">ROUND(F30 * F$26, 2)</f>
        <v>1910442.98</v>
      </c>
      <c r="H30" s="21" t="str">
        <f>TEXT(ROUND(((H$26-$C$26)*$C$4*$C30)/H$26, 2), "0.00")</f>
        <v>1.09</v>
      </c>
      <c r="I30" s="71">
        <f t="shared" ref="I30" si="16">ROUND(H30 * H$26, 2)</f>
        <v>3301338.66</v>
      </c>
      <c r="J30" s="21" t="str">
        <f>TEXT(ROUND(((J$26-$C$26)*$C$4*$C30)/J$26, 2), "0.00")</f>
        <v>1.30</v>
      </c>
      <c r="K30" s="71">
        <f t="shared" ref="K30" si="17">ROUND(J30 * J$26, 2)</f>
        <v>5118589.3</v>
      </c>
      <c r="L30" s="21" t="str">
        <f>TEXT(ROUND(((L$26-$C$26)*$C$4*$C30)/L$26, 2), "0.00")</f>
        <v>1.46</v>
      </c>
      <c r="M30" s="71">
        <f t="shared" ref="M30" si="18">ROUND(L30 * L$26, 2)</f>
        <v>7473140.3799999999</v>
      </c>
      <c r="N30" s="21" t="str">
        <f>TEXT(ROUND(((N$26-$C$26)*$C$4*$C30)/N$26, 2), "0.00")</f>
        <v>1.59</v>
      </c>
      <c r="O30" s="71">
        <f t="shared" ref="O30" si="19">ROUND(N30 * N$26, 2)</f>
        <v>10580124.09</v>
      </c>
      <c r="P30" s="21" t="str">
        <f>TEXT(ROUND(((P$26-$C$26)*$C$4*$C30)/P$26, 2), "0.00")</f>
        <v>1.68</v>
      </c>
      <c r="Q30" s="71">
        <f t="shared" ref="Q30" si="20">ROUND(P30 * P$26, 2)</f>
        <v>14532698.74</v>
      </c>
      <c r="R30" s="21" t="str">
        <f>TEXT(ROUND(((R$26-$C$26)*$C$4*$C30)/R$26, 2), "0.00")</f>
        <v>1.75</v>
      </c>
      <c r="S30" s="71">
        <f t="shared" ref="S30" si="21">ROUND(R30 * R$26, 2)</f>
        <v>19679696.219999999</v>
      </c>
      <c r="T30" s="21" t="str">
        <f>TEXT(ROUND(((T$26-$C$26)*$C$4*$C30)/T$26, 2), "0.00")</f>
        <v>1.81</v>
      </c>
      <c r="U30" s="71">
        <f t="shared" ref="U30:W33" si="22">ROUND(T30 * T$26, 2)</f>
        <v>26460757.260000002</v>
      </c>
      <c r="V30" s="21" t="str">
        <f>TEXT(ROUND(((V$26-$C$26)*$C$4*$C30)/V$26, 2), "0.00")</f>
        <v>1.85</v>
      </c>
      <c r="W30" s="71">
        <f t="shared" ref="W30" si="23">ROUND(V30 * V$26, 2)</f>
        <v>35159182.979999997</v>
      </c>
      <c r="X30" s="2"/>
    </row>
    <row r="31" spans="1:25" ht="15.85" customHeight="1" thickTop="1" thickBot="1" x14ac:dyDescent="0.5">
      <c r="A31" s="4"/>
      <c r="B31" s="6" t="s">
        <v>1</v>
      </c>
      <c r="C31" s="19">
        <v>0.3</v>
      </c>
      <c r="D31" s="21" t="str">
        <f>TEXT(ROUND(((D$26-$C$26)*$C$4*$C31)/D$26, 2), "0.00")</f>
        <v>0.69</v>
      </c>
      <c r="E31" s="71">
        <f t="shared" ref="E31:S33" si="24">ROUND(D31 * D$26, 2)</f>
        <v>1236590.67</v>
      </c>
      <c r="F31" s="21" t="str">
        <f>TEXT(ROUND(((F$26-$C$26)*$C$4*$C31)/F$26, 2), "0.00")</f>
        <v>1.22</v>
      </c>
      <c r="G31" s="71">
        <f t="shared" si="24"/>
        <v>2842366.38</v>
      </c>
      <c r="H31" s="21" t="str">
        <f>TEXT(ROUND(((H$26-$C$26)*$C$4*$C31)/H$26, 2), "0.00")</f>
        <v>1.63</v>
      </c>
      <c r="I31" s="71">
        <f t="shared" si="24"/>
        <v>4936864.24</v>
      </c>
      <c r="J31" s="21" t="str">
        <f>TEXT(ROUND(((J$26-$C$26)*$C$4*$C31)/J$26, 2), "0.00")</f>
        <v>1.95</v>
      </c>
      <c r="K31" s="71">
        <f t="shared" si="24"/>
        <v>7677883.9500000002</v>
      </c>
      <c r="L31" s="21" t="str">
        <f>TEXT(ROUND(((L$26-$C$26)*$C$4*$C31)/L$26, 2), "0.00")</f>
        <v>2.19</v>
      </c>
      <c r="M31" s="71">
        <f t="shared" si="24"/>
        <v>11209710.57</v>
      </c>
      <c r="N31" s="21" t="str">
        <f>TEXT(ROUND(((N$26-$C$26)*$C$4*$C31)/N$26, 2), "0.00")</f>
        <v>2.38</v>
      </c>
      <c r="O31" s="71">
        <f t="shared" si="24"/>
        <v>15836915.300000001</v>
      </c>
      <c r="P31" s="21" t="str">
        <f>TEXT(ROUND(((P$26-$C$26)*$C$4*$C31)/P$26, 2), "0.00")</f>
        <v>2.52</v>
      </c>
      <c r="Q31" s="71">
        <f t="shared" si="24"/>
        <v>21799048.120000001</v>
      </c>
      <c r="R31" s="21" t="str">
        <f>TEXT(ROUND(((R$26-$C$26)*$C$4*$C31)/R$26, 2), "0.00")</f>
        <v>2.63</v>
      </c>
      <c r="S31" s="71">
        <f t="shared" si="24"/>
        <v>29575772.030000001</v>
      </c>
      <c r="T31" s="21" t="str">
        <f>TEXT(ROUND(((T$26-$C$26)*$C$4*$C31)/T$26, 2), "0.00")</f>
        <v>2.72</v>
      </c>
      <c r="U31" s="71">
        <f t="shared" si="22"/>
        <v>39764231.899999999</v>
      </c>
      <c r="V31" s="21" t="str">
        <f>TEXT(ROUND(((V$26-$C$26)*$C$4*$C31)/V$26, 2), "0.00")</f>
        <v>2.78</v>
      </c>
      <c r="W31" s="71">
        <f t="shared" si="22"/>
        <v>52833799.289999999</v>
      </c>
      <c r="X31" s="2"/>
    </row>
    <row r="32" spans="1:25" ht="15.85" customHeight="1" thickTop="1" thickBot="1" x14ac:dyDescent="0.5">
      <c r="A32" s="4"/>
      <c r="B32" s="6" t="s">
        <v>2</v>
      </c>
      <c r="C32" s="19">
        <v>0.5</v>
      </c>
      <c r="D32" s="21" t="str">
        <f>TEXT(ROUND(((D$26-$C$26)*$C$4*$C32)/D$26, 2), "0.00")</f>
        <v>1.15</v>
      </c>
      <c r="E32" s="71">
        <f t="shared" si="24"/>
        <v>2060984.45</v>
      </c>
      <c r="F32" s="21" t="str">
        <f>TEXT(ROUND(((F$26-$C$26)*$C$4*$C32)/F$26, 2), "0.00")</f>
        <v>2.04</v>
      </c>
      <c r="G32" s="71">
        <f t="shared" si="24"/>
        <v>4752809.3600000003</v>
      </c>
      <c r="H32" s="21" t="str">
        <f>TEXT(ROUND(((H$26-$C$26)*$C$4*$C32)/H$26, 2), "0.00")</f>
        <v>2.72</v>
      </c>
      <c r="I32" s="71">
        <f t="shared" si="24"/>
        <v>8238202.9000000004</v>
      </c>
      <c r="J32" s="21" t="str">
        <f>TEXT(ROUND(((J$26-$C$26)*$C$4*$C32)/J$26, 2), "0.00")</f>
        <v>3.25</v>
      </c>
      <c r="K32" s="71">
        <f t="shared" si="24"/>
        <v>12796473.25</v>
      </c>
      <c r="L32" s="21" t="str">
        <f>TEXT(ROUND(((L$26-$C$26)*$C$4*$C32)/L$26, 2), "0.00")</f>
        <v>3.65</v>
      </c>
      <c r="M32" s="71">
        <f t="shared" si="24"/>
        <v>18682850.949999999</v>
      </c>
      <c r="N32" s="21" t="str">
        <f>TEXT(ROUND(((N$26-$C$26)*$C$4*$C32)/N$26, 2), "0.00")</f>
        <v>3.96</v>
      </c>
      <c r="O32" s="71">
        <f t="shared" si="24"/>
        <v>26350497.719999999</v>
      </c>
      <c r="P32" s="21" t="str">
        <f>TEXT(ROUND(((P$26-$C$26)*$C$4*$C32)/P$26, 2), "0.00")</f>
        <v>4.20</v>
      </c>
      <c r="Q32" s="71">
        <f t="shared" si="24"/>
        <v>36331746.859999999</v>
      </c>
      <c r="R32" s="21" t="str">
        <f>TEXT(ROUND(((R$26-$C$26)*$C$4*$C32)/R$26, 2), "0.00")</f>
        <v>4.39</v>
      </c>
      <c r="S32" s="71">
        <f t="shared" si="24"/>
        <v>49367923.649999999</v>
      </c>
      <c r="T32" s="21" t="str">
        <f>TEXT(ROUND(((T$26-$C$26)*$C$4*$C32)/T$26, 2), "0.00")</f>
        <v>4.53</v>
      </c>
      <c r="U32" s="71">
        <f t="shared" si="22"/>
        <v>66224989.149999999</v>
      </c>
      <c r="V32" s="21" t="str">
        <f>TEXT(ROUND(((V$26-$C$26)*$C$4*$C32)/V$26, 2), "0.00")</f>
        <v>4.64</v>
      </c>
      <c r="W32" s="71">
        <f t="shared" si="22"/>
        <v>88183031.920000002</v>
      </c>
      <c r="X32" s="2"/>
    </row>
    <row r="33" spans="1:25" ht="15.85" customHeight="1" thickTop="1" thickBot="1" x14ac:dyDescent="0.5">
      <c r="A33" s="4"/>
      <c r="B33" s="6" t="s">
        <v>0</v>
      </c>
      <c r="C33" s="19">
        <f>SUM(C30:C32)</f>
        <v>1</v>
      </c>
      <c r="D33" s="21" t="str">
        <f>TEXT(ROUND(((D$26-$C$26)*$C$4*$C33)/D$26, 2), "0.00")</f>
        <v>2.31</v>
      </c>
      <c r="E33" s="71">
        <f t="shared" si="24"/>
        <v>4139890.51</v>
      </c>
      <c r="F33" s="21" t="str">
        <f>TEXT(ROUND(((F$26-$C$26)*$C$4*$C33)/F$26, 2), "0.00")</f>
        <v>4.08</v>
      </c>
      <c r="G33" s="71">
        <f t="shared" si="24"/>
        <v>9505618.7300000004</v>
      </c>
      <c r="H33" s="21" t="str">
        <f>TEXT(ROUND(((H$26-$C$26)*$C$4*$C33)/H$26, 2), "0.00")</f>
        <v>5.45</v>
      </c>
      <c r="I33" s="71">
        <f t="shared" si="24"/>
        <v>16506693.310000001</v>
      </c>
      <c r="J33" s="21" t="str">
        <f>TEXT(ROUND(((J$26-$C$26)*$C$4*$C33)/J$26, 2), "0.00")</f>
        <v>6.50</v>
      </c>
      <c r="K33" s="71">
        <f t="shared" si="24"/>
        <v>25592946.510000002</v>
      </c>
      <c r="L33" s="21" t="str">
        <f>TEXT(ROUND(((L$26-$C$26)*$C$4*$C33)/L$26, 2), "0.00")</f>
        <v>7.31</v>
      </c>
      <c r="M33" s="71">
        <f t="shared" si="24"/>
        <v>37416887.789999999</v>
      </c>
      <c r="N33" s="21" t="str">
        <f>TEXT(ROUND(((N$26-$C$26)*$C$4*$C33)/N$26, 2), "0.00")</f>
        <v>7.93</v>
      </c>
      <c r="O33" s="71">
        <f t="shared" si="24"/>
        <v>52767537.109999999</v>
      </c>
      <c r="P33" s="21" t="str">
        <f>TEXT(ROUND(((P$26-$C$26)*$C$4*$C33)/P$26, 2), "0.00")</f>
        <v>8.41</v>
      </c>
      <c r="Q33" s="71">
        <f t="shared" si="24"/>
        <v>72749997.879999995</v>
      </c>
      <c r="R33" s="21" t="str">
        <f>TEXT(ROUND(((R$26-$C$26)*$C$4*$C33)/R$26, 2), "0.00")</f>
        <v>8.77</v>
      </c>
      <c r="S33" s="71">
        <f t="shared" si="24"/>
        <v>98623391.900000006</v>
      </c>
      <c r="T33" s="21" t="str">
        <f>TEXT(ROUND(((T$26-$C$26)*$C$4*$C33)/T$26, 2), "0.00")</f>
        <v>9.06</v>
      </c>
      <c r="U33" s="71">
        <f t="shared" si="22"/>
        <v>132449978.31</v>
      </c>
      <c r="V33" s="21" t="str">
        <f>TEXT(ROUND(((V$26-$C$26)*$C$4*$C33)/V$26, 2), "0.00")</f>
        <v>9.27</v>
      </c>
      <c r="W33" s="71">
        <f t="shared" si="22"/>
        <v>176176014.19</v>
      </c>
      <c r="X33" s="2"/>
    </row>
    <row r="34" spans="1:25" ht="15.75" customHeight="1" thickTop="1" thickBot="1" x14ac:dyDescent="0.5">
      <c r="A34" s="4"/>
      <c r="B34" s="113" t="s">
        <v>40</v>
      </c>
      <c r="C34" s="113"/>
      <c r="D34" s="114" t="s">
        <v>23</v>
      </c>
      <c r="E34" s="114"/>
      <c r="F34" s="114"/>
      <c r="G34" s="114"/>
      <c r="H34" s="114"/>
      <c r="I34" s="114"/>
      <c r="J34" s="114"/>
      <c r="K34" s="114"/>
      <c r="L34" s="114"/>
      <c r="M34" s="114"/>
      <c r="N34" s="114" t="s">
        <v>43</v>
      </c>
      <c r="O34" s="114"/>
      <c r="P34" s="114"/>
      <c r="Q34" s="114"/>
      <c r="R34" s="114"/>
      <c r="S34" s="114"/>
      <c r="T34" s="114"/>
      <c r="U34" s="114"/>
      <c r="V34" s="114"/>
      <c r="W34" s="114"/>
      <c r="X34" s="2"/>
      <c r="Y34" s="8" t="s">
        <v>28</v>
      </c>
    </row>
    <row r="35" spans="1:25" ht="15.85" customHeight="1" thickTop="1" thickBot="1" x14ac:dyDescent="0.5">
      <c r="A35" s="4"/>
      <c r="B35" s="113"/>
      <c r="C35" s="113"/>
      <c r="D35" s="103" t="s">
        <v>26</v>
      </c>
      <c r="E35" s="103"/>
      <c r="F35" s="103" t="s">
        <v>18</v>
      </c>
      <c r="G35" s="103"/>
      <c r="H35" s="103" t="s">
        <v>19</v>
      </c>
      <c r="I35" s="103"/>
      <c r="J35" s="103" t="s">
        <v>20</v>
      </c>
      <c r="K35" s="103"/>
      <c r="L35" s="103" t="s">
        <v>21</v>
      </c>
      <c r="M35" s="103"/>
      <c r="N35" s="103" t="s">
        <v>26</v>
      </c>
      <c r="O35" s="103"/>
      <c r="P35" s="103" t="s">
        <v>18</v>
      </c>
      <c r="Q35" s="103"/>
      <c r="R35" s="103" t="s">
        <v>19</v>
      </c>
      <c r="S35" s="103"/>
      <c r="T35" s="103" t="s">
        <v>20</v>
      </c>
      <c r="U35" s="103"/>
      <c r="V35" s="103" t="s">
        <v>21</v>
      </c>
      <c r="W35" s="103"/>
      <c r="X35" s="2"/>
      <c r="Y35" s="112" t="s">
        <v>41</v>
      </c>
    </row>
    <row r="36" spans="1:25" ht="15.85" customHeight="1" thickTop="1" thickBot="1" x14ac:dyDescent="0.5">
      <c r="A36" s="4"/>
      <c r="B36" s="113"/>
      <c r="C36" s="113"/>
      <c r="D36" s="5" t="s">
        <v>14</v>
      </c>
      <c r="E36" s="5" t="s">
        <v>15</v>
      </c>
      <c r="F36" s="5" t="s">
        <v>14</v>
      </c>
      <c r="G36" s="5" t="s">
        <v>15</v>
      </c>
      <c r="H36" s="5" t="s">
        <v>14</v>
      </c>
      <c r="I36" s="5" t="s">
        <v>15</v>
      </c>
      <c r="J36" s="5" t="s">
        <v>14</v>
      </c>
      <c r="K36" s="5" t="s">
        <v>15</v>
      </c>
      <c r="L36" s="5" t="s">
        <v>14</v>
      </c>
      <c r="M36" s="5" t="s">
        <v>15</v>
      </c>
      <c r="N36" s="5" t="s">
        <v>14</v>
      </c>
      <c r="O36" s="5" t="s">
        <v>15</v>
      </c>
      <c r="P36" s="5" t="s">
        <v>14</v>
      </c>
      <c r="Q36" s="5" t="s">
        <v>15</v>
      </c>
      <c r="R36" s="5" t="s">
        <v>14</v>
      </c>
      <c r="S36" s="5" t="s">
        <v>15</v>
      </c>
      <c r="T36" s="5" t="s">
        <v>14</v>
      </c>
      <c r="U36" s="5" t="s">
        <v>15</v>
      </c>
      <c r="V36" s="5" t="s">
        <v>14</v>
      </c>
      <c r="W36" s="5" t="s">
        <v>15</v>
      </c>
      <c r="X36" s="2"/>
      <c r="Y36" s="112"/>
    </row>
    <row r="37" spans="1:25" ht="15.85" customHeight="1" thickTop="1" thickBot="1" x14ac:dyDescent="0.5">
      <c r="A37" s="4"/>
      <c r="B37" s="115" t="s">
        <v>56</v>
      </c>
      <c r="C37" s="115"/>
      <c r="D37" s="69" t="str">
        <f>TEXT(ROUND(L30/$C$4/5*100, 2), "0.00") &amp; "%"</f>
        <v>2.92%</v>
      </c>
      <c r="E37" s="70" t="str">
        <f>TEXT(ROUND(M30/$C$24/5*100, 2), "0.00") &amp; "%"</f>
        <v>10.84%</v>
      </c>
      <c r="F37" s="21">
        <f>ROUND($L30/5, 2)</f>
        <v>0.28999999999999998</v>
      </c>
      <c r="G37" s="71">
        <f>$M30/5</f>
        <v>1494628.0759999999</v>
      </c>
      <c r="H37" s="21">
        <f>F37*10</f>
        <v>2.9</v>
      </c>
      <c r="I37" s="71">
        <f>G37*10</f>
        <v>14946280.759999998</v>
      </c>
      <c r="J37" s="21">
        <f t="shared" ref="J37:M40" si="25">H37*10</f>
        <v>29</v>
      </c>
      <c r="K37" s="71">
        <f t="shared" si="25"/>
        <v>149462807.59999996</v>
      </c>
      <c r="L37" s="21">
        <f t="shared" si="25"/>
        <v>290</v>
      </c>
      <c r="M37" s="71">
        <f t="shared" si="25"/>
        <v>1494628075.9999995</v>
      </c>
      <c r="N37" s="69" t="str">
        <f>TEXT(ROUND((V30-L30)/$C$4/5*100, 2), "0.00") &amp; "%"</f>
        <v>0.78%</v>
      </c>
      <c r="O37" s="70" t="str">
        <f>TEXT(ROUND((W30-M30)/$C$24/5*100, 2), "0.00") &amp; "%"</f>
        <v>40.17%</v>
      </c>
      <c r="P37" s="21">
        <f>ROUND(($V30-$L30)/5, 2)</f>
        <v>0.08</v>
      </c>
      <c r="Q37" s="71">
        <f>ROUND(($W30-$M30)/5, 2)</f>
        <v>5537208.5199999996</v>
      </c>
      <c r="R37" s="21">
        <f>P37*10</f>
        <v>0.8</v>
      </c>
      <c r="S37" s="71">
        <f>Q37*10</f>
        <v>55372085.199999996</v>
      </c>
      <c r="T37" s="21">
        <f t="shared" ref="T37:W40" si="26">R37*10</f>
        <v>8</v>
      </c>
      <c r="U37" s="71">
        <f t="shared" si="26"/>
        <v>553720852</v>
      </c>
      <c r="V37" s="21">
        <f t="shared" si="26"/>
        <v>80</v>
      </c>
      <c r="W37" s="71">
        <f t="shared" si="26"/>
        <v>5537208520</v>
      </c>
      <c r="X37" s="2"/>
      <c r="Y37" s="21" t="str">
        <f>TEXT(ROUND(V30/$C$4/10*100, 2), "0.00") &amp; "%"</f>
        <v>1.85%</v>
      </c>
    </row>
    <row r="38" spans="1:25" ht="15.85" customHeight="1" thickTop="1" thickBot="1" x14ac:dyDescent="0.5">
      <c r="A38" s="4"/>
      <c r="B38" s="115" t="s">
        <v>1</v>
      </c>
      <c r="C38" s="115"/>
      <c r="D38" s="69" t="str">
        <f>TEXT(ROUND(L31/$C$4/5*100, 2), "0.00") &amp; "%"</f>
        <v>4.38%</v>
      </c>
      <c r="E38" s="70" t="str">
        <f t="shared" ref="E38:E40" si="27">TEXT(ROUND(M31/$C$24/5*100, 2), "0.00") &amp; "%"</f>
        <v>16.26%</v>
      </c>
      <c r="F38" s="21">
        <f>ROUND($L31/5, 2)</f>
        <v>0.44</v>
      </c>
      <c r="G38" s="71">
        <f t="shared" ref="G38:G39" si="28">ROUND($M31/5, 2)</f>
        <v>2241942.11</v>
      </c>
      <c r="H38" s="21">
        <f t="shared" ref="H38:I40" si="29">F38*10</f>
        <v>4.4000000000000004</v>
      </c>
      <c r="I38" s="71">
        <f t="shared" si="29"/>
        <v>22419421.099999998</v>
      </c>
      <c r="J38" s="21">
        <f t="shared" si="25"/>
        <v>44</v>
      </c>
      <c r="K38" s="71">
        <f t="shared" si="25"/>
        <v>224194210.99999997</v>
      </c>
      <c r="L38" s="21">
        <f t="shared" si="25"/>
        <v>440</v>
      </c>
      <c r="M38" s="71">
        <f t="shared" si="25"/>
        <v>2241942109.9999995</v>
      </c>
      <c r="N38" s="69" t="str">
        <f>TEXT(ROUND((V31-L31)/$C$4/5*100, 2), "0.00") &amp; "%"</f>
        <v>1.18%</v>
      </c>
      <c r="O38" s="70" t="str">
        <f t="shared" ref="O38:O40" si="30">TEXT(ROUND((W31-M31)/$C$24/5*100, 2), "0.00") &amp; "%"</f>
        <v>60.39%</v>
      </c>
      <c r="P38" s="21">
        <f>ROUND(($V31-$L31)/5, 2)</f>
        <v>0.12</v>
      </c>
      <c r="Q38" s="71">
        <f>ROUND(($W31-$M31)/5, 2)</f>
        <v>8324817.7400000002</v>
      </c>
      <c r="R38" s="21">
        <f t="shared" ref="R38:S40" si="31">P38*10</f>
        <v>1.2</v>
      </c>
      <c r="S38" s="71">
        <f t="shared" si="31"/>
        <v>83248177.400000006</v>
      </c>
      <c r="T38" s="21">
        <f t="shared" si="26"/>
        <v>12</v>
      </c>
      <c r="U38" s="71">
        <f t="shared" si="26"/>
        <v>832481774</v>
      </c>
      <c r="V38" s="21">
        <f t="shared" si="26"/>
        <v>120</v>
      </c>
      <c r="W38" s="71">
        <f t="shared" si="26"/>
        <v>8324817740</v>
      </c>
      <c r="X38" s="2"/>
      <c r="Y38" s="22" t="str">
        <f>TEXT(ROUND(W31/$C24/10*100, 2), "0.00") &amp; "%"</f>
        <v>38.32%</v>
      </c>
    </row>
    <row r="39" spans="1:25" ht="15.85" customHeight="1" thickTop="1" thickBot="1" x14ac:dyDescent="0.5">
      <c r="B39" s="115" t="s">
        <v>2</v>
      </c>
      <c r="C39" s="115"/>
      <c r="D39" s="69" t="str">
        <f>TEXT(ROUND(L32/$C$4/5*100, 2), "0.00") &amp; "%"</f>
        <v>7.30%</v>
      </c>
      <c r="E39" s="70" t="str">
        <f t="shared" si="27"/>
        <v>27.10%</v>
      </c>
      <c r="F39" s="21">
        <f>ROUND($L32/5, 2)</f>
        <v>0.73</v>
      </c>
      <c r="G39" s="71">
        <f t="shared" si="28"/>
        <v>3736570.19</v>
      </c>
      <c r="H39" s="21">
        <f t="shared" si="29"/>
        <v>7.3</v>
      </c>
      <c r="I39" s="71">
        <f t="shared" si="29"/>
        <v>37365701.899999999</v>
      </c>
      <c r="J39" s="21">
        <f t="shared" si="25"/>
        <v>73</v>
      </c>
      <c r="K39" s="71">
        <f t="shared" si="25"/>
        <v>373657019</v>
      </c>
      <c r="L39" s="21">
        <f t="shared" si="25"/>
        <v>730</v>
      </c>
      <c r="M39" s="71">
        <f t="shared" si="25"/>
        <v>3736570190</v>
      </c>
      <c r="N39" s="69" t="str">
        <f>TEXT(ROUND((V32-L32)/$C$4/5*100, 2), "0.00") &amp; "%"</f>
        <v>1.98%</v>
      </c>
      <c r="O39" s="70" t="str">
        <f t="shared" si="30"/>
        <v>100.83%</v>
      </c>
      <c r="P39" s="21">
        <f>ROUND(($V32-$L32)/5, 2)</f>
        <v>0.2</v>
      </c>
      <c r="Q39" s="71">
        <f>ROUND(($W32-$M32)/5, 2)</f>
        <v>13900036.189999999</v>
      </c>
      <c r="R39" s="21">
        <f t="shared" si="31"/>
        <v>2</v>
      </c>
      <c r="S39" s="71">
        <f t="shared" si="31"/>
        <v>139000361.90000001</v>
      </c>
      <c r="T39" s="21">
        <f t="shared" si="26"/>
        <v>20</v>
      </c>
      <c r="U39" s="71">
        <f t="shared" si="26"/>
        <v>1390003619</v>
      </c>
      <c r="V39" s="21">
        <f t="shared" si="26"/>
        <v>200</v>
      </c>
      <c r="W39" s="71">
        <f t="shared" si="26"/>
        <v>13900036190</v>
      </c>
      <c r="Y39" s="21" t="str">
        <f>TEXT(ROUND(V32/$C$4/10*100, 2), "0.00") &amp; "%"</f>
        <v>4.64%</v>
      </c>
    </row>
    <row r="40" spans="1:25" s="3" customFormat="1" ht="15.85" customHeight="1" thickTop="1" thickBot="1" x14ac:dyDescent="0.5">
      <c r="A40" s="1"/>
      <c r="B40" s="115" t="s">
        <v>0</v>
      </c>
      <c r="C40" s="115"/>
      <c r="D40" s="69" t="str">
        <f>TEXT(ROUND(L33/$C$4/5*100, 2), "0.00") &amp; "%"</f>
        <v>14.62%</v>
      </c>
      <c r="E40" s="70" t="str">
        <f t="shared" si="27"/>
        <v>54.28%</v>
      </c>
      <c r="F40" s="21">
        <f>ROUND($L33/5, 2)</f>
        <v>1.46</v>
      </c>
      <c r="G40" s="71">
        <f>ROUND($M33/5, 2)</f>
        <v>7483377.5599999996</v>
      </c>
      <c r="H40" s="21">
        <f t="shared" si="29"/>
        <v>14.6</v>
      </c>
      <c r="I40" s="71">
        <f t="shared" si="29"/>
        <v>74833775.599999994</v>
      </c>
      <c r="J40" s="21">
        <f t="shared" si="25"/>
        <v>146</v>
      </c>
      <c r="K40" s="71">
        <f t="shared" si="25"/>
        <v>748337756</v>
      </c>
      <c r="L40" s="21">
        <f t="shared" si="25"/>
        <v>1460</v>
      </c>
      <c r="M40" s="71">
        <f t="shared" si="25"/>
        <v>7483377560</v>
      </c>
      <c r="N40" s="69" t="str">
        <f>TEXT(ROUND((V33-L33)/$C$4/5*100, 2), "0.00") &amp; "%"</f>
        <v>3.92%</v>
      </c>
      <c r="O40" s="70" t="str">
        <f t="shared" si="30"/>
        <v>201.31%</v>
      </c>
      <c r="P40" s="21">
        <f>ROUND(($V33-$L33)/5, 2)</f>
        <v>0.39</v>
      </c>
      <c r="Q40" s="71">
        <f>ROUND(($W33-$M33)/5, 2)</f>
        <v>27751825.280000001</v>
      </c>
      <c r="R40" s="21">
        <f t="shared" si="31"/>
        <v>3.9000000000000004</v>
      </c>
      <c r="S40" s="71">
        <f t="shared" si="31"/>
        <v>277518252.80000001</v>
      </c>
      <c r="T40" s="21">
        <f t="shared" si="26"/>
        <v>39</v>
      </c>
      <c r="U40" s="71">
        <f t="shared" si="26"/>
        <v>2775182528</v>
      </c>
      <c r="V40" s="21">
        <f t="shared" si="26"/>
        <v>390</v>
      </c>
      <c r="W40" s="71">
        <f t="shared" si="26"/>
        <v>27751825280</v>
      </c>
      <c r="X40" s="1"/>
    </row>
    <row r="41" spans="1:25" ht="15.85" customHeight="1" thickTop="1" x14ac:dyDescent="0.45"/>
    <row r="56" spans="10:11" ht="15.85" customHeight="1" x14ac:dyDescent="0.45">
      <c r="J56" s="1">
        <v>50000</v>
      </c>
      <c r="K56" s="1">
        <f>J56*$F$19/10</f>
        <v>1449.9999999999998</v>
      </c>
    </row>
    <row r="57" spans="10:11" ht="15.85" customHeight="1" x14ac:dyDescent="0.45">
      <c r="J57" s="1">
        <v>125000</v>
      </c>
      <c r="K57" s="1">
        <f t="shared" ref="K57:K60" si="32">J57*$F$19/10</f>
        <v>3625</v>
      </c>
    </row>
    <row r="58" spans="10:11" ht="15.85" customHeight="1" x14ac:dyDescent="0.45">
      <c r="J58" s="1">
        <v>250000</v>
      </c>
      <c r="K58" s="1">
        <f t="shared" si="32"/>
        <v>7250</v>
      </c>
    </row>
    <row r="59" spans="10:11" ht="15.85" customHeight="1" x14ac:dyDescent="0.45">
      <c r="J59" s="1">
        <v>375000</v>
      </c>
      <c r="K59" s="1">
        <f t="shared" si="32"/>
        <v>10874.999999999998</v>
      </c>
    </row>
    <row r="60" spans="10:11" ht="15.85" customHeight="1" x14ac:dyDescent="0.45">
      <c r="J60" s="1">
        <v>500000</v>
      </c>
      <c r="K60" s="1">
        <f t="shared" si="32"/>
        <v>14500</v>
      </c>
    </row>
  </sheetData>
  <mergeCells count="143">
    <mergeCell ref="B40:C40"/>
    <mergeCell ref="T35:U35"/>
    <mergeCell ref="V35:W35"/>
    <mergeCell ref="Y35:Y36"/>
    <mergeCell ref="B37:C37"/>
    <mergeCell ref="B38:C38"/>
    <mergeCell ref="B39:C39"/>
    <mergeCell ref="H35:I35"/>
    <mergeCell ref="J35:K35"/>
    <mergeCell ref="L35:M35"/>
    <mergeCell ref="N35:O35"/>
    <mergeCell ref="P35:Q35"/>
    <mergeCell ref="R35:S35"/>
    <mergeCell ref="B34:C36"/>
    <mergeCell ref="D34:M34"/>
    <mergeCell ref="N34:W34"/>
    <mergeCell ref="D35:E35"/>
    <mergeCell ref="F35:G35"/>
    <mergeCell ref="B28:B29"/>
    <mergeCell ref="C28:C29"/>
    <mergeCell ref="D28:D29"/>
    <mergeCell ref="E28:E29"/>
    <mergeCell ref="F28:F29"/>
    <mergeCell ref="S28:S29"/>
    <mergeCell ref="T28:T29"/>
    <mergeCell ref="U28:U29"/>
    <mergeCell ref="V28:V29"/>
    <mergeCell ref="M28:M29"/>
    <mergeCell ref="N28:N29"/>
    <mergeCell ref="O28:O29"/>
    <mergeCell ref="P28:P29"/>
    <mergeCell ref="Q28:Q29"/>
    <mergeCell ref="R28:R29"/>
    <mergeCell ref="G28:G29"/>
    <mergeCell ref="H28:H29"/>
    <mergeCell ref="I28:I29"/>
    <mergeCell ref="J28:J29"/>
    <mergeCell ref="K28:K29"/>
    <mergeCell ref="L28:L29"/>
    <mergeCell ref="R27:S27"/>
    <mergeCell ref="T27:U27"/>
    <mergeCell ref="V27:W27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W28:W29"/>
    <mergeCell ref="B19:C19"/>
    <mergeCell ref="B20:C20"/>
    <mergeCell ref="B21:C21"/>
    <mergeCell ref="B22:C22"/>
    <mergeCell ref="D24:W24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V26:W26"/>
    <mergeCell ref="D27:E27"/>
    <mergeCell ref="F27:G27"/>
    <mergeCell ref="H27:I27"/>
    <mergeCell ref="J27:K27"/>
    <mergeCell ref="L27:M27"/>
    <mergeCell ref="N27:O27"/>
    <mergeCell ref="P27:Q27"/>
    <mergeCell ref="N17:O17"/>
    <mergeCell ref="P17:Q17"/>
    <mergeCell ref="R17:S17"/>
    <mergeCell ref="T17:U17"/>
    <mergeCell ref="V17:W17"/>
    <mergeCell ref="Y17:Y18"/>
    <mergeCell ref="V10:V11"/>
    <mergeCell ref="W10:W11"/>
    <mergeCell ref="B16:C18"/>
    <mergeCell ref="D16:M16"/>
    <mergeCell ref="N16:W16"/>
    <mergeCell ref="D17:E17"/>
    <mergeCell ref="F17:G17"/>
    <mergeCell ref="H17:I17"/>
    <mergeCell ref="J17:K17"/>
    <mergeCell ref="L17:M17"/>
    <mergeCell ref="P10:P11"/>
    <mergeCell ref="Q10:Q11"/>
    <mergeCell ref="R10:R11"/>
    <mergeCell ref="S10:S11"/>
    <mergeCell ref="T10:T11"/>
    <mergeCell ref="U10:U11"/>
    <mergeCell ref="J10:J11"/>
    <mergeCell ref="K10:K11"/>
    <mergeCell ref="L10:L11"/>
    <mergeCell ref="M10:M11"/>
    <mergeCell ref="N10:N11"/>
    <mergeCell ref="O10:O11"/>
    <mergeCell ref="T9:U9"/>
    <mergeCell ref="V9:W9"/>
    <mergeCell ref="B10:B11"/>
    <mergeCell ref="C10:C11"/>
    <mergeCell ref="D10:D11"/>
    <mergeCell ref="E10:E11"/>
    <mergeCell ref="F10:F11"/>
    <mergeCell ref="G10:G11"/>
    <mergeCell ref="H10:H11"/>
    <mergeCell ref="I10:I11"/>
    <mergeCell ref="V8:W8"/>
    <mergeCell ref="D9:E9"/>
    <mergeCell ref="F9:G9"/>
    <mergeCell ref="H9:I9"/>
    <mergeCell ref="J9:K9"/>
    <mergeCell ref="L9:M9"/>
    <mergeCell ref="N9:O9"/>
    <mergeCell ref="P9:Q9"/>
    <mergeCell ref="R9:S9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D2:W4"/>
    <mergeCell ref="D6:W6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5EA7-8FF9-48C2-BA33-21228DD254FC}">
  <dimension ref="A1:Y41"/>
  <sheetViews>
    <sheetView tabSelected="1" zoomScaleNormal="100" workbookViewId="0">
      <selection activeCell="C7" sqref="C7"/>
    </sheetView>
  </sheetViews>
  <sheetFormatPr defaultRowHeight="15.85" customHeight="1" x14ac:dyDescent="0.45"/>
  <cols>
    <col min="1" max="1" width="1.6640625" style="1" customWidth="1"/>
    <col min="2" max="2" width="27.59765625" style="1" customWidth="1"/>
    <col min="3" max="3" width="10" style="25" customWidth="1"/>
    <col min="4" max="23" width="9.6640625" style="1" customWidth="1"/>
    <col min="24" max="24" width="1.6640625" style="1" customWidth="1"/>
    <col min="25" max="25" width="14.46484375" style="1" customWidth="1"/>
    <col min="26" max="26" width="1.53125" style="1" customWidth="1"/>
    <col min="27" max="16384" width="9.06640625" style="1"/>
  </cols>
  <sheetData>
    <row r="1" spans="1:25" ht="9.4" customHeight="1" thickBot="1" x14ac:dyDescent="0.5">
      <c r="B1" s="9"/>
      <c r="C1" s="24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9"/>
      <c r="W1" s="9"/>
    </row>
    <row r="2" spans="1:25" ht="15.85" customHeight="1" thickTop="1" thickBot="1" x14ac:dyDescent="0.5">
      <c r="A2" s="4"/>
      <c r="B2" s="6" t="s">
        <v>29</v>
      </c>
      <c r="C2" s="11" t="s">
        <v>14</v>
      </c>
      <c r="D2" s="101" t="s">
        <v>55</v>
      </c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2"/>
      <c r="Y2" s="13">
        <v>45891</v>
      </c>
    </row>
    <row r="3" spans="1:25" ht="15.85" customHeight="1" thickTop="1" thickBot="1" x14ac:dyDescent="0.5">
      <c r="A3" s="4"/>
      <c r="B3" s="6" t="str">
        <f>"Stability Asset Fully Diluted Units"</f>
        <v>Stability Asset Fully Diluted Units</v>
      </c>
      <c r="C3" s="14">
        <v>21000000</v>
      </c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2"/>
      <c r="Y3" s="15" t="s">
        <v>25</v>
      </c>
    </row>
    <row r="4" spans="1:25" ht="15.85" customHeight="1" thickTop="1" thickBot="1" x14ac:dyDescent="0.5">
      <c r="A4" s="4"/>
      <c r="B4" s="6" t="s">
        <v>3</v>
      </c>
      <c r="C4" s="11">
        <v>10</v>
      </c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2"/>
      <c r="Y4" s="15"/>
    </row>
    <row r="5" spans="1:25" ht="15.85" customHeight="1" thickTop="1" thickBot="1" x14ac:dyDescent="0.5">
      <c r="A5" s="4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2"/>
    </row>
    <row r="6" spans="1:25" ht="15.75" customHeight="1" thickTop="1" thickBot="1" x14ac:dyDescent="0.5">
      <c r="A6" s="4"/>
      <c r="B6" s="6" t="s">
        <v>24</v>
      </c>
      <c r="C6" s="7">
        <f>$C$4*C8</f>
        <v>1000000</v>
      </c>
      <c r="D6" s="102" t="str">
        <f>"2025 - 2035 : "&amp;$C7*100&amp;"% " &amp; B7</f>
        <v>2025 - 2035 : 35% BTC 10Y CAGR</v>
      </c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2"/>
      <c r="Y6" s="23"/>
    </row>
    <row r="7" spans="1:25" ht="15.85" customHeight="1" thickTop="1" thickBot="1" x14ac:dyDescent="0.5">
      <c r="A7" s="4"/>
      <c r="B7" s="6" t="str">
        <f>$C$2 &amp; " 10Y CAGR"</f>
        <v>BTC 10Y CAGR</v>
      </c>
      <c r="C7" s="16">
        <v>0.35</v>
      </c>
      <c r="D7" s="103" t="s">
        <v>4</v>
      </c>
      <c r="E7" s="103"/>
      <c r="F7" s="103" t="s">
        <v>5</v>
      </c>
      <c r="G7" s="103"/>
      <c r="H7" s="103" t="s">
        <v>6</v>
      </c>
      <c r="I7" s="103"/>
      <c r="J7" s="103" t="s">
        <v>7</v>
      </c>
      <c r="K7" s="103"/>
      <c r="L7" s="103" t="s">
        <v>8</v>
      </c>
      <c r="M7" s="103"/>
      <c r="N7" s="103" t="s">
        <v>9</v>
      </c>
      <c r="O7" s="103"/>
      <c r="P7" s="103" t="s">
        <v>10</v>
      </c>
      <c r="Q7" s="103"/>
      <c r="R7" s="103" t="s">
        <v>11</v>
      </c>
      <c r="S7" s="103"/>
      <c r="T7" s="103" t="s">
        <v>12</v>
      </c>
      <c r="U7" s="103"/>
      <c r="V7" s="103" t="s">
        <v>13</v>
      </c>
      <c r="W7" s="103"/>
      <c r="X7" s="2"/>
      <c r="Y7" s="17"/>
    </row>
    <row r="8" spans="1:25" ht="15.85" customHeight="1" thickTop="1" thickBot="1" x14ac:dyDescent="0.5">
      <c r="A8" s="4"/>
      <c r="B8" s="6" t="str">
        <f>$C$2 &amp; " USD Value"</f>
        <v>BTC USD Value</v>
      </c>
      <c r="C8" s="7">
        <v>100000</v>
      </c>
      <c r="D8" s="104">
        <f>C8*C7+C8</f>
        <v>135000</v>
      </c>
      <c r="E8" s="104"/>
      <c r="F8" s="104">
        <f>D8*C7+D8</f>
        <v>182250</v>
      </c>
      <c r="G8" s="104"/>
      <c r="H8" s="104">
        <f>F8*C7+F8</f>
        <v>246037.5</v>
      </c>
      <c r="I8" s="104"/>
      <c r="J8" s="104">
        <f>H8*C7+H8</f>
        <v>332150.625</v>
      </c>
      <c r="K8" s="104"/>
      <c r="L8" s="104">
        <f>J8*C7+J8</f>
        <v>448403.34375</v>
      </c>
      <c r="M8" s="104"/>
      <c r="N8" s="104">
        <f>L8*C7+L8</f>
        <v>605344.51406249998</v>
      </c>
      <c r="O8" s="104"/>
      <c r="P8" s="104">
        <f>N8*C7+N8</f>
        <v>817215.09398437501</v>
      </c>
      <c r="Q8" s="104"/>
      <c r="R8" s="104">
        <f>P8*C7+P8</f>
        <v>1103240.3768789063</v>
      </c>
      <c r="S8" s="104"/>
      <c r="T8" s="104">
        <f>R8*C7+R8</f>
        <v>1489374.5087865235</v>
      </c>
      <c r="U8" s="104"/>
      <c r="V8" s="104">
        <f>T8*C7+T8</f>
        <v>2010655.5868618067</v>
      </c>
      <c r="W8" s="104"/>
      <c r="X8" s="2"/>
    </row>
    <row r="9" spans="1:25" ht="15.85" customHeight="1" thickTop="1" thickBot="1" x14ac:dyDescent="0.5">
      <c r="A9" s="4"/>
      <c r="B9" s="6" t="str">
        <f>$C$2 &amp; " USD Marketcap"</f>
        <v>BTC USD Marketcap</v>
      </c>
      <c r="C9" s="18">
        <f>C8*$C$3</f>
        <v>2100000000000</v>
      </c>
      <c r="D9" s="105">
        <f>D8*$C$3</f>
        <v>2835000000000</v>
      </c>
      <c r="E9" s="105"/>
      <c r="F9" s="105">
        <f>F8*$C$3</f>
        <v>3827250000000</v>
      </c>
      <c r="G9" s="105"/>
      <c r="H9" s="105">
        <f>H8*$C$3</f>
        <v>5166787500000</v>
      </c>
      <c r="I9" s="105"/>
      <c r="J9" s="105">
        <f>J8*$C$3</f>
        <v>6975163125000</v>
      </c>
      <c r="K9" s="105"/>
      <c r="L9" s="105">
        <f>L8*$C$3</f>
        <v>9416470218750</v>
      </c>
      <c r="M9" s="105"/>
      <c r="N9" s="105">
        <f>N8*$C$3</f>
        <v>12712234795312.5</v>
      </c>
      <c r="O9" s="105"/>
      <c r="P9" s="105">
        <f>P8*$C$3</f>
        <v>17161516973671.875</v>
      </c>
      <c r="Q9" s="105"/>
      <c r="R9" s="105">
        <f>R8*$C$3</f>
        <v>23168047914457.031</v>
      </c>
      <c r="S9" s="105"/>
      <c r="T9" s="105">
        <f>T8*$C$3</f>
        <v>31276864684516.992</v>
      </c>
      <c r="U9" s="105"/>
      <c r="V9" s="105">
        <f>V8*$C$3</f>
        <v>42223767324097.938</v>
      </c>
      <c r="W9" s="105"/>
      <c r="X9" s="2"/>
    </row>
    <row r="10" spans="1:25" ht="15.85" customHeight="1" thickTop="1" x14ac:dyDescent="0.45">
      <c r="A10" s="4"/>
      <c r="B10" s="108" t="s">
        <v>17</v>
      </c>
      <c r="C10" s="110" t="s">
        <v>22</v>
      </c>
      <c r="D10" s="106" t="s">
        <v>14</v>
      </c>
      <c r="E10" s="106" t="s">
        <v>15</v>
      </c>
      <c r="F10" s="106" t="s">
        <v>14</v>
      </c>
      <c r="G10" s="106" t="s">
        <v>15</v>
      </c>
      <c r="H10" s="106" t="s">
        <v>14</v>
      </c>
      <c r="I10" s="106" t="s">
        <v>15</v>
      </c>
      <c r="J10" s="106" t="s">
        <v>14</v>
      </c>
      <c r="K10" s="106" t="s">
        <v>15</v>
      </c>
      <c r="L10" s="106" t="s">
        <v>14</v>
      </c>
      <c r="M10" s="106" t="s">
        <v>15</v>
      </c>
      <c r="N10" s="106" t="s">
        <v>14</v>
      </c>
      <c r="O10" s="106" t="s">
        <v>15</v>
      </c>
      <c r="P10" s="106" t="s">
        <v>14</v>
      </c>
      <c r="Q10" s="106" t="s">
        <v>15</v>
      </c>
      <c r="R10" s="106" t="s">
        <v>14</v>
      </c>
      <c r="S10" s="106" t="s">
        <v>15</v>
      </c>
      <c r="T10" s="106" t="s">
        <v>14</v>
      </c>
      <c r="U10" s="106" t="s">
        <v>15</v>
      </c>
      <c r="V10" s="106" t="s">
        <v>14</v>
      </c>
      <c r="W10" s="106" t="s">
        <v>15</v>
      </c>
      <c r="X10" s="2"/>
    </row>
    <row r="11" spans="1:25" ht="15.85" customHeight="1" thickBot="1" x14ac:dyDescent="0.5">
      <c r="A11" s="4"/>
      <c r="B11" s="109"/>
      <c r="C11" s="111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2"/>
    </row>
    <row r="12" spans="1:25" ht="15.85" customHeight="1" thickTop="1" thickBot="1" x14ac:dyDescent="0.5">
      <c r="A12" s="4"/>
      <c r="B12" s="6" t="s">
        <v>56</v>
      </c>
      <c r="C12" s="19">
        <v>0.2</v>
      </c>
      <c r="D12" s="21" t="str">
        <f>TEXT(ROUND(((D$8-$C$8)*$C$4*$C12)/D$8, 2), "0.00")</f>
        <v>0.52</v>
      </c>
      <c r="E12" s="71">
        <f>ROUND(D12 * D$8, 2)</f>
        <v>70200</v>
      </c>
      <c r="F12" s="21" t="str">
        <f>TEXT(ROUND(((F$8-$C$8)*$C$4*$C12)/F$8, 2), "0.00")</f>
        <v>0.90</v>
      </c>
      <c r="G12" s="71">
        <f t="shared" ref="G12:G15" si="0">ROUND(F12 * F$8, 2)</f>
        <v>164025</v>
      </c>
      <c r="H12" s="21" t="str">
        <f>TEXT(ROUND(((H$8-$C$8)*$C$4*$C12)/H$8, 2), "0.00")</f>
        <v>1.19</v>
      </c>
      <c r="I12" s="71">
        <f t="shared" ref="I12:I15" si="1">ROUND(H12 * H$8, 2)</f>
        <v>292784.63</v>
      </c>
      <c r="J12" s="21" t="str">
        <f>TEXT(ROUND(((J$8-$C$8)*$C$4*$C12)/J$8, 2), "0.00")</f>
        <v>1.40</v>
      </c>
      <c r="K12" s="71">
        <f t="shared" ref="K12:K15" si="2">ROUND(J12 * J$8, 2)</f>
        <v>465010.88</v>
      </c>
      <c r="L12" s="21" t="str">
        <f>TEXT(ROUND(((L$8-$C$8)*$C$4*$C12)/L$8, 2), "0.00")</f>
        <v>1.55</v>
      </c>
      <c r="M12" s="71">
        <f t="shared" ref="M12:M15" si="3">ROUND(L12 * L$8, 2)</f>
        <v>695025.18</v>
      </c>
      <c r="N12" s="21" t="str">
        <f>TEXT(ROUND(((N$8-$C$8)*$C$4*$C12)/N$8, 2), "0.00")</f>
        <v>1.67</v>
      </c>
      <c r="O12" s="71">
        <f t="shared" ref="O12:O15" si="4">ROUND(N12 * N$8, 2)</f>
        <v>1010925.34</v>
      </c>
      <c r="P12" s="21" t="str">
        <f>TEXT(ROUND(((P$8-$C$8)*$C$4*$C12)/P$8, 2), "0.00")</f>
        <v>1.76</v>
      </c>
      <c r="Q12" s="71">
        <f t="shared" ref="Q12:Q15" si="5">ROUND(P12 * P$8, 2)</f>
        <v>1438298.57</v>
      </c>
      <c r="R12" s="21" t="str">
        <f>TEXT(ROUND(((R$8-$C$8)*$C$4*$C12)/R$8, 2), "0.00")</f>
        <v>1.82</v>
      </c>
      <c r="S12" s="71">
        <f t="shared" ref="S12:S15" si="6">ROUND(R12 * R$8, 2)</f>
        <v>2007897.49</v>
      </c>
      <c r="T12" s="21" t="str">
        <f>TEXT(ROUND(((T$8-$C$8)*$C$4*$C12)/T$8, 2), "0.00")</f>
        <v>1.87</v>
      </c>
      <c r="U12" s="71">
        <f t="shared" ref="U12:U15" si="7">ROUND(T12 * T$8, 2)</f>
        <v>2785130.33</v>
      </c>
      <c r="V12" s="21" t="str">
        <f>TEXT(ROUND(((V$8-$C$8)*$C$4*$C12)/V$8, 2), "0.00")</f>
        <v>1.90</v>
      </c>
      <c r="W12" s="71">
        <f t="shared" ref="W12:W15" si="8">ROUND(V12 * V$8, 2)</f>
        <v>3820245.62</v>
      </c>
      <c r="X12" s="2"/>
    </row>
    <row r="13" spans="1:25" ht="15.85" customHeight="1" thickTop="1" thickBot="1" x14ac:dyDescent="0.5">
      <c r="A13" s="4"/>
      <c r="B13" s="6" t="s">
        <v>1</v>
      </c>
      <c r="C13" s="19">
        <v>0.3</v>
      </c>
      <c r="D13" s="21" t="str">
        <f>TEXT(ROUND(((D$8-$C$8)*$C$4*$C13)/D$8, 2), "0.00")</f>
        <v>0.78</v>
      </c>
      <c r="E13" s="71">
        <f>ROUND(D13 * D$8, 2)</f>
        <v>105300</v>
      </c>
      <c r="F13" s="21" t="str">
        <f>TEXT(ROUND(((F$8-$C$8)*$C$4*$C13)/F$8, 2), "0.00")</f>
        <v>1.35</v>
      </c>
      <c r="G13" s="71">
        <f t="shared" si="0"/>
        <v>246037.5</v>
      </c>
      <c r="H13" s="21" t="str">
        <f>TEXT(ROUND(((H$8-$C$8)*$C$4*$C13)/H$8, 2), "0.00")</f>
        <v>1.78</v>
      </c>
      <c r="I13" s="71">
        <f t="shared" si="1"/>
        <v>437946.75</v>
      </c>
      <c r="J13" s="21" t="str">
        <f>TEXT(ROUND(((J$8-$C$8)*$C$4*$C13)/J$8, 2), "0.00")</f>
        <v>2.10</v>
      </c>
      <c r="K13" s="71">
        <f t="shared" si="2"/>
        <v>697516.31</v>
      </c>
      <c r="L13" s="21" t="str">
        <f>TEXT(ROUND(((L$8-$C$8)*$C$4*$C13)/L$8, 2), "0.00")</f>
        <v>2.33</v>
      </c>
      <c r="M13" s="71">
        <f t="shared" si="3"/>
        <v>1044779.79</v>
      </c>
      <c r="N13" s="21" t="str">
        <f>TEXT(ROUND(((N$8-$C$8)*$C$4*$C13)/N$8, 2), "0.00")</f>
        <v>2.50</v>
      </c>
      <c r="O13" s="71">
        <f t="shared" si="4"/>
        <v>1513361.29</v>
      </c>
      <c r="P13" s="21" t="str">
        <f>TEXT(ROUND(((P$8-$C$8)*$C$4*$C13)/P$8, 2), "0.00")</f>
        <v>2.63</v>
      </c>
      <c r="Q13" s="71">
        <f t="shared" si="5"/>
        <v>2149275.7000000002</v>
      </c>
      <c r="R13" s="21" t="str">
        <f>TEXT(ROUND(((R$8-$C$8)*$C$4*$C13)/R$8, 2), "0.00")</f>
        <v>2.73</v>
      </c>
      <c r="S13" s="71">
        <f t="shared" si="6"/>
        <v>3011846.23</v>
      </c>
      <c r="T13" s="21" t="str">
        <f>TEXT(ROUND(((T$8-$C$8)*$C$4*$C13)/T$8, 2), "0.00")</f>
        <v>2.80</v>
      </c>
      <c r="U13" s="71">
        <f t="shared" si="7"/>
        <v>4170248.62</v>
      </c>
      <c r="V13" s="21" t="str">
        <f>TEXT(ROUND(((V$8-$C$8)*$C$4*$C13)/V$8, 2), "0.00")</f>
        <v>2.85</v>
      </c>
      <c r="W13" s="71">
        <f t="shared" si="8"/>
        <v>5730368.4199999999</v>
      </c>
      <c r="X13" s="2"/>
    </row>
    <row r="14" spans="1:25" ht="15.85" customHeight="1" thickTop="1" thickBot="1" x14ac:dyDescent="0.5">
      <c r="A14" s="4"/>
      <c r="B14" s="6" t="s">
        <v>2</v>
      </c>
      <c r="C14" s="19">
        <v>0.5</v>
      </c>
      <c r="D14" s="21" t="str">
        <f>TEXT(ROUND(((D$8-$C$8)*$C$4*$C14)/D$8, 2), "0.00")</f>
        <v>1.30</v>
      </c>
      <c r="E14" s="71">
        <f>ROUND(D14 * D$8, 2)</f>
        <v>175500</v>
      </c>
      <c r="F14" s="21" t="str">
        <f>TEXT(ROUND(((F$8-$C$8)*$C$4*$C14)/F$8, 2), "0.00")</f>
        <v>2.26</v>
      </c>
      <c r="G14" s="71">
        <f t="shared" si="0"/>
        <v>411885</v>
      </c>
      <c r="H14" s="21" t="str">
        <f>TEXT(ROUND(((H$8-$C$8)*$C$4*$C14)/H$8, 2), "0.00")</f>
        <v>2.97</v>
      </c>
      <c r="I14" s="71">
        <f t="shared" si="1"/>
        <v>730731.38</v>
      </c>
      <c r="J14" s="21" t="str">
        <f>TEXT(ROUND(((J$8-$C$8)*$C$4*$C14)/J$8, 2), "0.00")</f>
        <v>3.49</v>
      </c>
      <c r="K14" s="71">
        <f t="shared" si="2"/>
        <v>1159205.68</v>
      </c>
      <c r="L14" s="21" t="str">
        <f>TEXT(ROUND(((L$8-$C$8)*$C$4*$C14)/L$8, 2), "0.00")</f>
        <v>3.88</v>
      </c>
      <c r="M14" s="71">
        <f t="shared" si="3"/>
        <v>1739804.97</v>
      </c>
      <c r="N14" s="21" t="str">
        <f>TEXT(ROUND(((N$8-$C$8)*$C$4*$C14)/N$8, 2), "0.00")</f>
        <v>4.17</v>
      </c>
      <c r="O14" s="71">
        <f t="shared" si="4"/>
        <v>2524286.62</v>
      </c>
      <c r="P14" s="21" t="str">
        <f>TEXT(ROUND(((P$8-$C$8)*$C$4*$C14)/P$8, 2), "0.00")</f>
        <v>4.39</v>
      </c>
      <c r="Q14" s="71">
        <f t="shared" si="5"/>
        <v>3587574.26</v>
      </c>
      <c r="R14" s="21" t="str">
        <f>TEXT(ROUND(((R$8-$C$8)*$C$4*$C14)/R$8, 2), "0.00")</f>
        <v>4.55</v>
      </c>
      <c r="S14" s="71">
        <f t="shared" si="6"/>
        <v>5019743.71</v>
      </c>
      <c r="T14" s="21" t="str">
        <f>TEXT(ROUND(((T$8-$C$8)*$C$4*$C14)/T$8, 2), "0.00")</f>
        <v>4.66</v>
      </c>
      <c r="U14" s="71">
        <f t="shared" si="7"/>
        <v>6940485.21</v>
      </c>
      <c r="V14" s="21" t="str">
        <f>TEXT(ROUND(((V$8-$C$8)*$C$4*$C14)/V$8, 2), "0.00")</f>
        <v>4.75</v>
      </c>
      <c r="W14" s="71">
        <f t="shared" si="8"/>
        <v>9550614.0399999991</v>
      </c>
      <c r="X14" s="2"/>
    </row>
    <row r="15" spans="1:25" ht="15.85" customHeight="1" thickTop="1" thickBot="1" x14ac:dyDescent="0.5">
      <c r="A15" s="4"/>
      <c r="B15" s="6" t="s">
        <v>0</v>
      </c>
      <c r="C15" s="19">
        <f>SUM(C12:C14)</f>
        <v>1</v>
      </c>
      <c r="D15" s="21" t="str">
        <f>TEXT(ROUND(((D$8-$C$8)*$C$4*$C15)/D$8, 2), "0.00")</f>
        <v>2.59</v>
      </c>
      <c r="E15" s="71">
        <f>ROUND(D15 * D$8, 2)</f>
        <v>349650</v>
      </c>
      <c r="F15" s="21" t="str">
        <f>TEXT(ROUND(((F$8-$C$8)*$C$4*$C15)/F$8, 2), "0.00")</f>
        <v>4.51</v>
      </c>
      <c r="G15" s="71">
        <f t="shared" si="0"/>
        <v>821947.5</v>
      </c>
      <c r="H15" s="21" t="str">
        <f>TEXT(ROUND(((H$8-$C$8)*$C$4*$C15)/H$8, 2), "0.00")</f>
        <v>5.94</v>
      </c>
      <c r="I15" s="71">
        <f t="shared" si="1"/>
        <v>1461462.75</v>
      </c>
      <c r="J15" s="21" t="str">
        <f>TEXT(ROUND(((J$8-$C$8)*$C$4*$C15)/J$8, 2), "0.00")</f>
        <v>6.99</v>
      </c>
      <c r="K15" s="71">
        <f t="shared" si="2"/>
        <v>2321732.87</v>
      </c>
      <c r="L15" s="21" t="str">
        <f>TEXT(ROUND(((L$8-$C$8)*$C$4*$C15)/L$8, 2), "0.00")</f>
        <v>7.77</v>
      </c>
      <c r="M15" s="71">
        <f t="shared" si="3"/>
        <v>3484093.98</v>
      </c>
      <c r="N15" s="21" t="str">
        <f>TEXT(ROUND(((N$8-$C$8)*$C$4*$C15)/N$8, 2), "0.00")</f>
        <v>8.35</v>
      </c>
      <c r="O15" s="71">
        <f t="shared" si="4"/>
        <v>5054626.6900000004</v>
      </c>
      <c r="P15" s="21" t="str">
        <f>TEXT(ROUND(((P$8-$C$8)*$C$4*$C15)/P$8, 2), "0.00")</f>
        <v>8.78</v>
      </c>
      <c r="Q15" s="71">
        <f t="shared" si="5"/>
        <v>7175148.5300000003</v>
      </c>
      <c r="R15" s="21" t="str">
        <f>TEXT(ROUND(((R$8-$C$8)*$C$4*$C15)/R$8, 2), "0.00")</f>
        <v>9.09</v>
      </c>
      <c r="S15" s="71">
        <f t="shared" si="6"/>
        <v>10028455.029999999</v>
      </c>
      <c r="T15" s="21" t="str">
        <f>TEXT(ROUND(((T$8-$C$8)*$C$4*$C15)/T$8, 2), "0.00")</f>
        <v>9.33</v>
      </c>
      <c r="U15" s="71">
        <f t="shared" si="7"/>
        <v>13895864.17</v>
      </c>
      <c r="V15" s="21" t="str">
        <f>TEXT(ROUND(((V$8-$C$8)*$C$4*$C15)/V$8, 2), "0.00")</f>
        <v>9.50</v>
      </c>
      <c r="W15" s="71">
        <f t="shared" si="8"/>
        <v>19101228.079999998</v>
      </c>
      <c r="X15" s="2"/>
      <c r="Y15" s="9"/>
    </row>
    <row r="16" spans="1:25" ht="15.85" customHeight="1" thickTop="1" thickBot="1" x14ac:dyDescent="0.5">
      <c r="A16" s="4"/>
      <c r="B16" s="113" t="s">
        <v>40</v>
      </c>
      <c r="C16" s="113"/>
      <c r="D16" s="114" t="s">
        <v>16</v>
      </c>
      <c r="E16" s="114"/>
      <c r="F16" s="114"/>
      <c r="G16" s="114"/>
      <c r="H16" s="114"/>
      <c r="I16" s="114"/>
      <c r="J16" s="114"/>
      <c r="K16" s="114"/>
      <c r="L16" s="114"/>
      <c r="M16" s="114"/>
      <c r="N16" s="114" t="s">
        <v>42</v>
      </c>
      <c r="O16" s="114"/>
      <c r="P16" s="114"/>
      <c r="Q16" s="114"/>
      <c r="R16" s="114"/>
      <c r="S16" s="114"/>
      <c r="T16" s="114"/>
      <c r="U16" s="114"/>
      <c r="V16" s="114"/>
      <c r="W16" s="114"/>
      <c r="X16" s="12"/>
      <c r="Y16" s="8" t="s">
        <v>27</v>
      </c>
    </row>
    <row r="17" spans="1:25" ht="15.85" customHeight="1" thickTop="1" thickBot="1" x14ac:dyDescent="0.5">
      <c r="A17" s="4"/>
      <c r="B17" s="113"/>
      <c r="C17" s="113"/>
      <c r="D17" s="103" t="s">
        <v>26</v>
      </c>
      <c r="E17" s="103"/>
      <c r="F17" s="103" t="s">
        <v>18</v>
      </c>
      <c r="G17" s="103"/>
      <c r="H17" s="103" t="s">
        <v>19</v>
      </c>
      <c r="I17" s="103"/>
      <c r="J17" s="103" t="s">
        <v>20</v>
      </c>
      <c r="K17" s="103"/>
      <c r="L17" s="103" t="s">
        <v>21</v>
      </c>
      <c r="M17" s="103"/>
      <c r="N17" s="103" t="s">
        <v>26</v>
      </c>
      <c r="O17" s="103"/>
      <c r="P17" s="103" t="s">
        <v>18</v>
      </c>
      <c r="Q17" s="103"/>
      <c r="R17" s="103" t="s">
        <v>19</v>
      </c>
      <c r="S17" s="103"/>
      <c r="T17" s="103" t="s">
        <v>20</v>
      </c>
      <c r="U17" s="103"/>
      <c r="V17" s="103" t="s">
        <v>21</v>
      </c>
      <c r="W17" s="103"/>
      <c r="X17" s="12"/>
      <c r="Y17" s="112" t="s">
        <v>41</v>
      </c>
    </row>
    <row r="18" spans="1:25" ht="15.85" customHeight="1" thickTop="1" thickBot="1" x14ac:dyDescent="0.5">
      <c r="A18" s="4"/>
      <c r="B18" s="113"/>
      <c r="C18" s="113"/>
      <c r="D18" s="5" t="s">
        <v>14</v>
      </c>
      <c r="E18" s="5" t="s">
        <v>15</v>
      </c>
      <c r="F18" s="5" t="s">
        <v>14</v>
      </c>
      <c r="G18" s="5" t="s">
        <v>15</v>
      </c>
      <c r="H18" s="5" t="s">
        <v>14</v>
      </c>
      <c r="I18" s="5" t="s">
        <v>15</v>
      </c>
      <c r="J18" s="5" t="s">
        <v>14</v>
      </c>
      <c r="K18" s="5" t="s">
        <v>15</v>
      </c>
      <c r="L18" s="5" t="s">
        <v>14</v>
      </c>
      <c r="M18" s="5" t="s">
        <v>15</v>
      </c>
      <c r="N18" s="5" t="s">
        <v>14</v>
      </c>
      <c r="O18" s="5" t="s">
        <v>15</v>
      </c>
      <c r="P18" s="5" t="s">
        <v>14</v>
      </c>
      <c r="Q18" s="5" t="s">
        <v>15</v>
      </c>
      <c r="R18" s="5" t="s">
        <v>14</v>
      </c>
      <c r="S18" s="5" t="s">
        <v>15</v>
      </c>
      <c r="T18" s="5" t="s">
        <v>14</v>
      </c>
      <c r="U18" s="5" t="s">
        <v>15</v>
      </c>
      <c r="V18" s="5" t="s">
        <v>14</v>
      </c>
      <c r="W18" s="5" t="s">
        <v>15</v>
      </c>
      <c r="X18" s="12"/>
      <c r="Y18" s="112"/>
    </row>
    <row r="19" spans="1:25" ht="15.85" customHeight="1" thickTop="1" thickBot="1" x14ac:dyDescent="0.5">
      <c r="A19" s="4"/>
      <c r="B19" s="115" t="s">
        <v>56</v>
      </c>
      <c r="C19" s="115"/>
      <c r="D19" s="69" t="str">
        <f>TEXT(ROUND(L12/$C$4/5*100, 2), "0.00") &amp; "%"</f>
        <v>3.10%</v>
      </c>
      <c r="E19" s="70" t="str">
        <f>TEXT(ROUND(M12/$C$6/5*100, 2), "0.00") &amp; "%"</f>
        <v>13.90%</v>
      </c>
      <c r="F19" s="21">
        <f>ROUND($L12/5, 2)</f>
        <v>0.31</v>
      </c>
      <c r="G19" s="71">
        <f>$M12/5</f>
        <v>139005.03600000002</v>
      </c>
      <c r="H19" s="21">
        <f>F19*10</f>
        <v>3.1</v>
      </c>
      <c r="I19" s="71">
        <f>G19*10</f>
        <v>1390050.3600000003</v>
      </c>
      <c r="J19" s="21">
        <f t="shared" ref="J19:M22" si="9">H19*10</f>
        <v>31</v>
      </c>
      <c r="K19" s="71">
        <f t="shared" si="9"/>
        <v>13900503.600000003</v>
      </c>
      <c r="L19" s="21">
        <f t="shared" si="9"/>
        <v>310</v>
      </c>
      <c r="M19" s="71">
        <f t="shared" si="9"/>
        <v>139005036.00000003</v>
      </c>
      <c r="N19" s="69" t="str">
        <f>TEXT(ROUND((V12-L12)/$C$4/5*100, 2), "0.00") &amp; "%"</f>
        <v>0.70%</v>
      </c>
      <c r="O19" s="70" t="str">
        <f>TEXT(ROUND((W12-M12)/$C$6/5*100, 2), "0.00") &amp; "%"</f>
        <v>62.50%</v>
      </c>
      <c r="P19" s="21">
        <f>ROUND(($V12-$L12)/5, 2)</f>
        <v>7.0000000000000007E-2</v>
      </c>
      <c r="Q19" s="71">
        <f>ROUND(($W12-$M12)/5, 2)</f>
        <v>625044.09</v>
      </c>
      <c r="R19" s="21">
        <f>P19*10</f>
        <v>0.70000000000000007</v>
      </c>
      <c r="S19" s="71">
        <f>Q19*10</f>
        <v>6250440.8999999994</v>
      </c>
      <c r="T19" s="21">
        <f t="shared" ref="T19:W22" si="10">R19*10</f>
        <v>7.0000000000000009</v>
      </c>
      <c r="U19" s="71">
        <f t="shared" si="10"/>
        <v>62504408.999999993</v>
      </c>
      <c r="V19" s="21">
        <f t="shared" si="10"/>
        <v>70.000000000000014</v>
      </c>
      <c r="W19" s="71">
        <f t="shared" si="10"/>
        <v>625044089.99999988</v>
      </c>
      <c r="X19" s="12"/>
      <c r="Y19" s="21" t="str">
        <f>TEXT(ROUND(V12/$C$4/10*100, 2), "0.00") &amp; "%"</f>
        <v>1.90%</v>
      </c>
    </row>
    <row r="20" spans="1:25" ht="15.85" customHeight="1" thickTop="1" thickBot="1" x14ac:dyDescent="0.5">
      <c r="A20" s="4"/>
      <c r="B20" s="115" t="s">
        <v>1</v>
      </c>
      <c r="C20" s="115"/>
      <c r="D20" s="69" t="str">
        <f>TEXT(ROUND(L13/$C$4/5*100, 2), "0.00") &amp; "%"</f>
        <v>4.66%</v>
      </c>
      <c r="E20" s="70" t="str">
        <f>TEXT(ROUND(M13/$C$6/5*100, 2), "0.00") &amp; "%"</f>
        <v>20.90%</v>
      </c>
      <c r="F20" s="21">
        <f t="shared" ref="F20:F22" si="11">ROUND($L13/5, 2)</f>
        <v>0.47</v>
      </c>
      <c r="G20" s="71">
        <f t="shared" ref="G20:G21" si="12">ROUND($M13/5, 2)</f>
        <v>208955.96</v>
      </c>
      <c r="H20" s="21">
        <f t="shared" ref="H20:I22" si="13">F20*10</f>
        <v>4.6999999999999993</v>
      </c>
      <c r="I20" s="71">
        <f t="shared" si="13"/>
        <v>2089559.5999999999</v>
      </c>
      <c r="J20" s="21">
        <f t="shared" si="9"/>
        <v>46.999999999999993</v>
      </c>
      <c r="K20" s="71">
        <f t="shared" si="9"/>
        <v>20895596</v>
      </c>
      <c r="L20" s="21">
        <f t="shared" si="9"/>
        <v>469.99999999999994</v>
      </c>
      <c r="M20" s="71">
        <f t="shared" si="9"/>
        <v>208955960</v>
      </c>
      <c r="N20" s="69" t="str">
        <f>TEXT(ROUND((V13-L13)/$C$4/5*100, 2), "0.00") &amp; "%"</f>
        <v>1.04%</v>
      </c>
      <c r="O20" s="70" t="str">
        <f>TEXT(ROUND((W13-M13)/$C$6/5*100, 2), "0.00") &amp; "%"</f>
        <v>93.71%</v>
      </c>
      <c r="P20" s="21">
        <f>ROUND(($V13-$L13)/5, 2)</f>
        <v>0.1</v>
      </c>
      <c r="Q20" s="71">
        <f>ROUND(($W13-$M13)/5, 2)</f>
        <v>937117.73</v>
      </c>
      <c r="R20" s="21">
        <f t="shared" ref="R20:S22" si="14">P20*10</f>
        <v>1</v>
      </c>
      <c r="S20" s="71">
        <f t="shared" si="14"/>
        <v>9371177.3000000007</v>
      </c>
      <c r="T20" s="21">
        <f t="shared" si="10"/>
        <v>10</v>
      </c>
      <c r="U20" s="71">
        <f t="shared" si="10"/>
        <v>93711773</v>
      </c>
      <c r="V20" s="21">
        <f t="shared" si="10"/>
        <v>100</v>
      </c>
      <c r="W20" s="71">
        <f t="shared" si="10"/>
        <v>937117730</v>
      </c>
      <c r="X20" s="12"/>
      <c r="Y20" s="22" t="str">
        <f>TEXT(ROUND(W13/$C6/10*100, 2), "0.00") &amp; "%"</f>
        <v>57.30%</v>
      </c>
    </row>
    <row r="21" spans="1:25" ht="15.85" customHeight="1" thickTop="1" thickBot="1" x14ac:dyDescent="0.5">
      <c r="A21" s="4"/>
      <c r="B21" s="115" t="s">
        <v>2</v>
      </c>
      <c r="C21" s="115"/>
      <c r="D21" s="69" t="str">
        <f>TEXT(ROUND(L14/$C$4/5*100, 2), "0.00") &amp; "%"</f>
        <v>7.76%</v>
      </c>
      <c r="E21" s="70" t="str">
        <f>TEXT(ROUND(M14/$C$6/5*100, 2), "0.00") &amp; "%"</f>
        <v>34.80%</v>
      </c>
      <c r="F21" s="21">
        <f t="shared" si="11"/>
        <v>0.78</v>
      </c>
      <c r="G21" s="71">
        <f t="shared" si="12"/>
        <v>347960.99</v>
      </c>
      <c r="H21" s="21">
        <f t="shared" si="13"/>
        <v>7.8000000000000007</v>
      </c>
      <c r="I21" s="71">
        <f t="shared" si="13"/>
        <v>3479609.9</v>
      </c>
      <c r="J21" s="21">
        <f t="shared" si="9"/>
        <v>78</v>
      </c>
      <c r="K21" s="71">
        <f t="shared" si="9"/>
        <v>34796099</v>
      </c>
      <c r="L21" s="21">
        <f t="shared" si="9"/>
        <v>780</v>
      </c>
      <c r="M21" s="71">
        <f t="shared" si="9"/>
        <v>347960990</v>
      </c>
      <c r="N21" s="69" t="str">
        <f>TEXT(ROUND((V14-L14)/$C$4/5*100, 2), "0.00") &amp; "%"</f>
        <v>1.74%</v>
      </c>
      <c r="O21" s="70" t="str">
        <f>TEXT(ROUND((W14-M14)/$C$6/5*100, 2), "0.00") &amp; "%"</f>
        <v>156.22%</v>
      </c>
      <c r="P21" s="21">
        <f>ROUND(($V14-$L14)/5, 2)</f>
        <v>0.17</v>
      </c>
      <c r="Q21" s="71">
        <f>ROUND(($W14-$M14)/5, 2)</f>
        <v>1562161.81</v>
      </c>
      <c r="R21" s="21">
        <f t="shared" si="14"/>
        <v>1.7000000000000002</v>
      </c>
      <c r="S21" s="71">
        <f t="shared" si="14"/>
        <v>15621618.100000001</v>
      </c>
      <c r="T21" s="21">
        <f t="shared" si="10"/>
        <v>17</v>
      </c>
      <c r="U21" s="71">
        <f t="shared" si="10"/>
        <v>156216181</v>
      </c>
      <c r="V21" s="21">
        <f t="shared" si="10"/>
        <v>170</v>
      </c>
      <c r="W21" s="71">
        <f t="shared" si="10"/>
        <v>1562161810</v>
      </c>
      <c r="X21" s="12"/>
      <c r="Y21" s="21" t="str">
        <f>TEXT(ROUND(V14/$C$4/10*100, 2), "0.00") &amp; "%"</f>
        <v>4.75%</v>
      </c>
    </row>
    <row r="22" spans="1:25" ht="15.85" customHeight="1" thickTop="1" thickBot="1" x14ac:dyDescent="0.5">
      <c r="A22" s="4"/>
      <c r="B22" s="115" t="s">
        <v>0</v>
      </c>
      <c r="C22" s="115"/>
      <c r="D22" s="69" t="str">
        <f>TEXT(ROUND(L15/$C$4/5*100, 2), "0.00") &amp; "%"</f>
        <v>15.54%</v>
      </c>
      <c r="E22" s="70" t="str">
        <f>TEXT(ROUND(M15/$C$6/5*100, 2), "0.00") &amp; "%"</f>
        <v>69.68%</v>
      </c>
      <c r="F22" s="21">
        <f t="shared" si="11"/>
        <v>1.55</v>
      </c>
      <c r="G22" s="71">
        <f>ROUND($M15/5, 2)</f>
        <v>696818.8</v>
      </c>
      <c r="H22" s="21">
        <f t="shared" si="13"/>
        <v>15.5</v>
      </c>
      <c r="I22" s="71">
        <f t="shared" si="13"/>
        <v>6968188</v>
      </c>
      <c r="J22" s="21">
        <f t="shared" si="9"/>
        <v>155</v>
      </c>
      <c r="K22" s="71">
        <f t="shared" si="9"/>
        <v>69681880</v>
      </c>
      <c r="L22" s="21">
        <f t="shared" si="9"/>
        <v>1550</v>
      </c>
      <c r="M22" s="71">
        <f t="shared" si="9"/>
        <v>696818800</v>
      </c>
      <c r="N22" s="69" t="str">
        <f>TEXT(ROUND((V15-L15)/$C$4/5*100, 2), "0.00") &amp; "%"</f>
        <v>3.46%</v>
      </c>
      <c r="O22" s="70" t="str">
        <f>TEXT(ROUND((W15-M15)/$C$6/5*100, 2), "0.00") &amp; "%"</f>
        <v>312.34%</v>
      </c>
      <c r="P22" s="21">
        <f>ROUND(($V15-$L15)/5, 2)</f>
        <v>0.35</v>
      </c>
      <c r="Q22" s="71">
        <f>ROUND(($W15-$M15)/5, 2)</f>
        <v>3123426.82</v>
      </c>
      <c r="R22" s="21">
        <f t="shared" si="14"/>
        <v>3.5</v>
      </c>
      <c r="S22" s="71">
        <f t="shared" si="14"/>
        <v>31234268.199999999</v>
      </c>
      <c r="T22" s="21">
        <f t="shared" si="10"/>
        <v>35</v>
      </c>
      <c r="U22" s="71">
        <f t="shared" si="10"/>
        <v>312342682</v>
      </c>
      <c r="V22" s="21">
        <f t="shared" si="10"/>
        <v>350</v>
      </c>
      <c r="W22" s="71">
        <f t="shared" si="10"/>
        <v>3123426820</v>
      </c>
      <c r="X22" s="2"/>
      <c r="Y22" s="20"/>
    </row>
    <row r="23" spans="1:25" ht="15.85" customHeight="1" thickTop="1" thickBot="1" x14ac:dyDescent="0.5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5" ht="15.75" customHeight="1" thickTop="1" thickBot="1" x14ac:dyDescent="0.5">
      <c r="A24" s="4"/>
      <c r="B24" s="6" t="s">
        <v>24</v>
      </c>
      <c r="C24" s="7">
        <f>$C$4*C26</f>
        <v>20106555.868618067</v>
      </c>
      <c r="D24" s="102" t="str">
        <f>"2035 - 2045 : "&amp;$C25*100&amp;"% " &amp; B25</f>
        <v>2035 - 2045 : 25% BTC 10Y CAGR</v>
      </c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2"/>
    </row>
    <row r="25" spans="1:25" ht="15.85" customHeight="1" thickTop="1" thickBot="1" x14ac:dyDescent="0.5">
      <c r="A25" s="4"/>
      <c r="B25" s="6" t="str">
        <f>$C$2 &amp; " 10Y CAGR"</f>
        <v>BTC 10Y CAGR</v>
      </c>
      <c r="C25" s="16">
        <v>0.25</v>
      </c>
      <c r="D25" s="103" t="s">
        <v>4</v>
      </c>
      <c r="E25" s="103"/>
      <c r="F25" s="103" t="s">
        <v>5</v>
      </c>
      <c r="G25" s="103"/>
      <c r="H25" s="103" t="s">
        <v>6</v>
      </c>
      <c r="I25" s="103"/>
      <c r="J25" s="103" t="s">
        <v>7</v>
      </c>
      <c r="K25" s="103"/>
      <c r="L25" s="103" t="s">
        <v>8</v>
      </c>
      <c r="M25" s="103"/>
      <c r="N25" s="103" t="s">
        <v>9</v>
      </c>
      <c r="O25" s="103"/>
      <c r="P25" s="103" t="s">
        <v>10</v>
      </c>
      <c r="Q25" s="103"/>
      <c r="R25" s="103" t="s">
        <v>11</v>
      </c>
      <c r="S25" s="103"/>
      <c r="T25" s="103" t="s">
        <v>12</v>
      </c>
      <c r="U25" s="103"/>
      <c r="V25" s="103" t="s">
        <v>13</v>
      </c>
      <c r="W25" s="103"/>
      <c r="X25" s="2"/>
    </row>
    <row r="26" spans="1:25" ht="15.85" customHeight="1" thickTop="1" thickBot="1" x14ac:dyDescent="0.5">
      <c r="A26" s="4"/>
      <c r="B26" s="6" t="str">
        <f>$C$2 &amp; " USD Value"</f>
        <v>BTC USD Value</v>
      </c>
      <c r="C26" s="7">
        <f>V8</f>
        <v>2010655.5868618067</v>
      </c>
      <c r="D26" s="104">
        <f>C26*C25+C26</f>
        <v>2513319.4835772584</v>
      </c>
      <c r="E26" s="104"/>
      <c r="F26" s="104">
        <f>D26*C25+D26</f>
        <v>3141649.3544715731</v>
      </c>
      <c r="G26" s="104"/>
      <c r="H26" s="104">
        <f>F26*$C25+F26</f>
        <v>3927061.6930894665</v>
      </c>
      <c r="I26" s="104"/>
      <c r="J26" s="104">
        <f>H26*$C25+H26</f>
        <v>4908827.1163618332</v>
      </c>
      <c r="K26" s="104"/>
      <c r="L26" s="104">
        <f>J26*$C25+J26</f>
        <v>6136033.8954522917</v>
      </c>
      <c r="M26" s="104"/>
      <c r="N26" s="104">
        <f>L26*$C25+L26</f>
        <v>7670042.3693153644</v>
      </c>
      <c r="O26" s="104"/>
      <c r="P26" s="104">
        <f>N26*$C25+N26</f>
        <v>9587552.9616442062</v>
      </c>
      <c r="Q26" s="104"/>
      <c r="R26" s="104">
        <f>P26*$C25+P26</f>
        <v>11984441.202055257</v>
      </c>
      <c r="S26" s="104"/>
      <c r="T26" s="104">
        <f>R26*$C25+R26</f>
        <v>14980551.502569072</v>
      </c>
      <c r="U26" s="104"/>
      <c r="V26" s="104">
        <f>T26*$C25+T26</f>
        <v>18725689.378211342</v>
      </c>
      <c r="W26" s="104"/>
      <c r="X26" s="2"/>
    </row>
    <row r="27" spans="1:25" ht="15.85" customHeight="1" thickTop="1" thickBot="1" x14ac:dyDescent="0.5">
      <c r="A27" s="4"/>
      <c r="B27" s="6" t="str">
        <f>$C$2 &amp; " USD Marketcap"</f>
        <v>BTC USD Marketcap</v>
      </c>
      <c r="C27" s="18">
        <f>C26*21000000</f>
        <v>42223767324097.938</v>
      </c>
      <c r="D27" s="105">
        <f>D26*21000000</f>
        <v>52779709155122.43</v>
      </c>
      <c r="E27" s="105"/>
      <c r="F27" s="105">
        <f>F26*21000000</f>
        <v>65974636443903.039</v>
      </c>
      <c r="G27" s="105"/>
      <c r="H27" s="105">
        <f>H26*21000000</f>
        <v>82468295554878.797</v>
      </c>
      <c r="I27" s="105"/>
      <c r="J27" s="105">
        <f>J26*21000000</f>
        <v>103085369443598.5</v>
      </c>
      <c r="K27" s="105"/>
      <c r="L27" s="105">
        <f>L26*21000000</f>
        <v>128856711804498.13</v>
      </c>
      <c r="M27" s="105"/>
      <c r="N27" s="105">
        <f>N26*21000000</f>
        <v>161070889755622.66</v>
      </c>
      <c r="O27" s="105"/>
      <c r="P27" s="105">
        <f>P26*21000000</f>
        <v>201338612194528.34</v>
      </c>
      <c r="Q27" s="105"/>
      <c r="R27" s="105">
        <f>R26*21000000</f>
        <v>251673265243160.41</v>
      </c>
      <c r="S27" s="105"/>
      <c r="T27" s="105">
        <f>T26*21000000</f>
        <v>314591581553950.5</v>
      </c>
      <c r="U27" s="105"/>
      <c r="V27" s="105">
        <f>V26*21000000</f>
        <v>393239476942438.19</v>
      </c>
      <c r="W27" s="105"/>
      <c r="X27" s="2"/>
    </row>
    <row r="28" spans="1:25" ht="15.75" customHeight="1" thickTop="1" x14ac:dyDescent="0.45">
      <c r="A28" s="4"/>
      <c r="B28" s="108" t="s">
        <v>17</v>
      </c>
      <c r="C28" s="110" t="s">
        <v>22</v>
      </c>
      <c r="D28" s="106" t="s">
        <v>14</v>
      </c>
      <c r="E28" s="106" t="s">
        <v>15</v>
      </c>
      <c r="F28" s="106" t="s">
        <v>14</v>
      </c>
      <c r="G28" s="106" t="s">
        <v>15</v>
      </c>
      <c r="H28" s="106" t="s">
        <v>14</v>
      </c>
      <c r="I28" s="106" t="s">
        <v>15</v>
      </c>
      <c r="J28" s="106" t="s">
        <v>14</v>
      </c>
      <c r="K28" s="106" t="s">
        <v>15</v>
      </c>
      <c r="L28" s="106" t="s">
        <v>14</v>
      </c>
      <c r="M28" s="106" t="s">
        <v>15</v>
      </c>
      <c r="N28" s="106" t="s">
        <v>14</v>
      </c>
      <c r="O28" s="106" t="s">
        <v>15</v>
      </c>
      <c r="P28" s="106" t="s">
        <v>14</v>
      </c>
      <c r="Q28" s="106" t="s">
        <v>15</v>
      </c>
      <c r="R28" s="106" t="s">
        <v>14</v>
      </c>
      <c r="S28" s="106" t="s">
        <v>15</v>
      </c>
      <c r="T28" s="106" t="s">
        <v>14</v>
      </c>
      <c r="U28" s="106" t="s">
        <v>15</v>
      </c>
      <c r="V28" s="106" t="s">
        <v>14</v>
      </c>
      <c r="W28" s="106" t="s">
        <v>15</v>
      </c>
      <c r="X28" s="2"/>
    </row>
    <row r="29" spans="1:25" ht="15.75" customHeight="1" thickBot="1" x14ac:dyDescent="0.5">
      <c r="A29" s="4"/>
      <c r="B29" s="109"/>
      <c r="C29" s="111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2"/>
    </row>
    <row r="30" spans="1:25" ht="15.85" customHeight="1" thickTop="1" thickBot="1" x14ac:dyDescent="0.5">
      <c r="A30" s="4"/>
      <c r="B30" s="6" t="s">
        <v>56</v>
      </c>
      <c r="C30" s="19">
        <v>0.2</v>
      </c>
      <c r="D30" s="21" t="str">
        <f>TEXT(ROUND(((D$26-$C$26)*$C$4*$C30)/D$26, 2), "0.00")</f>
        <v>0.40</v>
      </c>
      <c r="E30" s="71">
        <f>ROUND(D30 * D$26, 2)</f>
        <v>1005327.79</v>
      </c>
      <c r="F30" s="21" t="str">
        <f>TEXT(ROUND(((F$26-$C$26)*$C$4*$C30)/F$26, 2), "0.00")</f>
        <v>0.72</v>
      </c>
      <c r="G30" s="71">
        <f t="shared" ref="G30" si="15">ROUND(F30 * F$26, 2)</f>
        <v>2261987.54</v>
      </c>
      <c r="H30" s="21" t="str">
        <f>TEXT(ROUND(((H$26-$C$26)*$C$4*$C30)/H$26, 2), "0.00")</f>
        <v>0.98</v>
      </c>
      <c r="I30" s="71">
        <f t="shared" ref="I30" si="16">ROUND(H30 * H$26, 2)</f>
        <v>3848520.46</v>
      </c>
      <c r="J30" s="21" t="str">
        <f>TEXT(ROUND(((J$26-$C$26)*$C$4*$C30)/J$26, 2), "0.00")</f>
        <v>1.18</v>
      </c>
      <c r="K30" s="71">
        <f t="shared" ref="K30" si="17">ROUND(J30 * J$26, 2)</f>
        <v>5792416</v>
      </c>
      <c r="L30" s="21" t="str">
        <f>TEXT(ROUND(((L$26-$C$26)*$C$4*$C30)/L$26, 2), "0.00")</f>
        <v>1.34</v>
      </c>
      <c r="M30" s="71">
        <f t="shared" ref="M30" si="18">ROUND(L30 * L$26, 2)</f>
        <v>8222285.4199999999</v>
      </c>
      <c r="N30" s="21" t="str">
        <f>TEXT(ROUND(((N$26-$C$26)*$C$4*$C30)/N$26, 2), "0.00")</f>
        <v>1.48</v>
      </c>
      <c r="O30" s="71">
        <f t="shared" ref="O30" si="19">ROUND(N30 * N$26, 2)</f>
        <v>11351662.710000001</v>
      </c>
      <c r="P30" s="21" t="str">
        <f>TEXT(ROUND(((P$26-$C$26)*$C$4*$C30)/P$26, 2), "0.00")</f>
        <v>1.58</v>
      </c>
      <c r="Q30" s="71">
        <f t="shared" ref="Q30" si="20">ROUND(P30 * P$26, 2)</f>
        <v>15148333.68</v>
      </c>
      <c r="R30" s="21" t="str">
        <f>TEXT(ROUND(((R$26-$C$26)*$C$4*$C30)/R$26, 2), "0.00")</f>
        <v>1.66</v>
      </c>
      <c r="S30" s="71">
        <f t="shared" ref="S30" si="21">ROUND(R30 * R$26, 2)</f>
        <v>19894172.399999999</v>
      </c>
      <c r="T30" s="21" t="str">
        <f>TEXT(ROUND(((T$26-$C$26)*$C$4*$C30)/T$26, 2), "0.00")</f>
        <v>1.73</v>
      </c>
      <c r="U30" s="71">
        <f t="shared" ref="U30:W33" si="22">ROUND(T30 * T$26, 2)</f>
        <v>25916354.100000001</v>
      </c>
      <c r="V30" s="21" t="str">
        <f>TEXT(ROUND(((V$26-$C$26)*$C$4*$C30)/V$26, 2), "0.00")</f>
        <v>1.79</v>
      </c>
      <c r="W30" s="71">
        <f t="shared" ref="W30" si="23">ROUND(V30 * V$26, 2)</f>
        <v>33518983.989999998</v>
      </c>
      <c r="X30" s="2"/>
    </row>
    <row r="31" spans="1:25" ht="15.85" customHeight="1" thickTop="1" thickBot="1" x14ac:dyDescent="0.5">
      <c r="A31" s="4"/>
      <c r="B31" s="6" t="s">
        <v>1</v>
      </c>
      <c r="C31" s="19">
        <v>0.3</v>
      </c>
      <c r="D31" s="21" t="str">
        <f>TEXT(ROUND(((D$26-$C$26)*$C$4*$C31)/D$26, 2), "0.00")</f>
        <v>0.60</v>
      </c>
      <c r="E31" s="71">
        <f t="shared" ref="E31:S33" si="24">ROUND(D31 * D$26, 2)</f>
        <v>1507991.69</v>
      </c>
      <c r="F31" s="21" t="str">
        <f>TEXT(ROUND(((F$26-$C$26)*$C$4*$C31)/F$26, 2), "0.00")</f>
        <v>1.08</v>
      </c>
      <c r="G31" s="71">
        <f t="shared" si="24"/>
        <v>3392981.3</v>
      </c>
      <c r="H31" s="21" t="str">
        <f>TEXT(ROUND(((H$26-$C$26)*$C$4*$C31)/H$26, 2), "0.00")</f>
        <v>1.46</v>
      </c>
      <c r="I31" s="71">
        <f t="shared" si="24"/>
        <v>5733510.0700000003</v>
      </c>
      <c r="J31" s="21" t="str">
        <f>TEXT(ROUND(((J$26-$C$26)*$C$4*$C31)/J$26, 2), "0.00")</f>
        <v>1.77</v>
      </c>
      <c r="K31" s="71">
        <f t="shared" si="24"/>
        <v>8688624</v>
      </c>
      <c r="L31" s="21" t="str">
        <f>TEXT(ROUND(((L$26-$C$26)*$C$4*$C31)/L$26, 2), "0.00")</f>
        <v>2.02</v>
      </c>
      <c r="M31" s="71">
        <f t="shared" si="24"/>
        <v>12394788.470000001</v>
      </c>
      <c r="N31" s="21" t="str">
        <f>TEXT(ROUND(((N$26-$C$26)*$C$4*$C31)/N$26, 2), "0.00")</f>
        <v>2.21</v>
      </c>
      <c r="O31" s="71">
        <f t="shared" si="24"/>
        <v>16950793.640000001</v>
      </c>
      <c r="P31" s="21" t="str">
        <f>TEXT(ROUND(((P$26-$C$26)*$C$4*$C31)/P$26, 2), "0.00")</f>
        <v>2.37</v>
      </c>
      <c r="Q31" s="71">
        <f t="shared" si="24"/>
        <v>22722500.52</v>
      </c>
      <c r="R31" s="21" t="str">
        <f>TEXT(ROUND(((R$26-$C$26)*$C$4*$C31)/R$26, 2), "0.00")</f>
        <v>2.50</v>
      </c>
      <c r="S31" s="71">
        <f t="shared" si="24"/>
        <v>29961103.010000002</v>
      </c>
      <c r="T31" s="21" t="str">
        <f>TEXT(ROUND(((T$26-$C$26)*$C$4*$C31)/T$26, 2), "0.00")</f>
        <v>2.60</v>
      </c>
      <c r="U31" s="71">
        <f t="shared" si="22"/>
        <v>38949433.909999996</v>
      </c>
      <c r="V31" s="21" t="str">
        <f>TEXT(ROUND(((V$26-$C$26)*$C$4*$C31)/V$26, 2), "0.00")</f>
        <v>2.68</v>
      </c>
      <c r="W31" s="71">
        <f t="shared" si="22"/>
        <v>50184847.530000001</v>
      </c>
      <c r="X31" s="2"/>
    </row>
    <row r="32" spans="1:25" ht="15.85" customHeight="1" thickTop="1" thickBot="1" x14ac:dyDescent="0.5">
      <c r="A32" s="4"/>
      <c r="B32" s="6" t="s">
        <v>2</v>
      </c>
      <c r="C32" s="19">
        <v>0.5</v>
      </c>
      <c r="D32" s="21" t="str">
        <f>TEXT(ROUND(((D$26-$C$26)*$C$4*$C32)/D$26, 2), "0.00")</f>
        <v>1.00</v>
      </c>
      <c r="E32" s="71">
        <f t="shared" si="24"/>
        <v>2513319.48</v>
      </c>
      <c r="F32" s="21" t="str">
        <f>TEXT(ROUND(((F$26-$C$26)*$C$4*$C32)/F$26, 2), "0.00")</f>
        <v>1.80</v>
      </c>
      <c r="G32" s="71">
        <f t="shared" si="24"/>
        <v>5654968.8399999999</v>
      </c>
      <c r="H32" s="21" t="str">
        <f>TEXT(ROUND(((H$26-$C$26)*$C$4*$C32)/H$26, 2), "0.00")</f>
        <v>2.44</v>
      </c>
      <c r="I32" s="71">
        <f t="shared" si="24"/>
        <v>9582030.5299999993</v>
      </c>
      <c r="J32" s="21" t="str">
        <f>TEXT(ROUND(((J$26-$C$26)*$C$4*$C32)/J$26, 2), "0.00")</f>
        <v>2.95</v>
      </c>
      <c r="K32" s="71">
        <f t="shared" si="24"/>
        <v>14481039.99</v>
      </c>
      <c r="L32" s="21" t="str">
        <f>TEXT(ROUND(((L$26-$C$26)*$C$4*$C32)/L$26, 2), "0.00")</f>
        <v>3.36</v>
      </c>
      <c r="M32" s="71">
        <f t="shared" si="24"/>
        <v>20617073.890000001</v>
      </c>
      <c r="N32" s="21" t="str">
        <f>TEXT(ROUND(((N$26-$C$26)*$C$4*$C32)/N$26, 2), "0.00")</f>
        <v>3.69</v>
      </c>
      <c r="O32" s="71">
        <f t="shared" si="24"/>
        <v>28302456.34</v>
      </c>
      <c r="P32" s="21" t="str">
        <f>TEXT(ROUND(((P$26-$C$26)*$C$4*$C32)/P$26, 2), "0.00")</f>
        <v>3.95</v>
      </c>
      <c r="Q32" s="71">
        <f t="shared" si="24"/>
        <v>37870834.200000003</v>
      </c>
      <c r="R32" s="21" t="str">
        <f>TEXT(ROUND(((R$26-$C$26)*$C$4*$C32)/R$26, 2), "0.00")</f>
        <v>4.16</v>
      </c>
      <c r="S32" s="71">
        <f t="shared" si="24"/>
        <v>49855275.399999999</v>
      </c>
      <c r="T32" s="21" t="str">
        <f>TEXT(ROUND(((T$26-$C$26)*$C$4*$C32)/T$26, 2), "0.00")</f>
        <v>4.33</v>
      </c>
      <c r="U32" s="71">
        <f t="shared" si="22"/>
        <v>64865788.009999998</v>
      </c>
      <c r="V32" s="21" t="str">
        <f>TEXT(ROUND(((V$26-$C$26)*$C$4*$C32)/V$26, 2), "0.00")</f>
        <v>4.46</v>
      </c>
      <c r="W32" s="71">
        <f t="shared" si="22"/>
        <v>83516574.629999995</v>
      </c>
      <c r="X32" s="2"/>
    </row>
    <row r="33" spans="1:25" ht="15.85" customHeight="1" thickTop="1" thickBot="1" x14ac:dyDescent="0.5">
      <c r="A33" s="4"/>
      <c r="B33" s="6" t="s">
        <v>0</v>
      </c>
      <c r="C33" s="19">
        <f>SUM(C30:C32)</f>
        <v>1</v>
      </c>
      <c r="D33" s="21" t="str">
        <f>TEXT(ROUND(((D$26-$C$26)*$C$4*$C33)/D$26, 2), "0.00")</f>
        <v>2.00</v>
      </c>
      <c r="E33" s="71">
        <f t="shared" si="24"/>
        <v>5026638.97</v>
      </c>
      <c r="F33" s="21" t="str">
        <f>TEXT(ROUND(((F$26-$C$26)*$C$4*$C33)/F$26, 2), "0.00")</f>
        <v>3.60</v>
      </c>
      <c r="G33" s="71">
        <f t="shared" si="24"/>
        <v>11309937.68</v>
      </c>
      <c r="H33" s="21" t="str">
        <f>TEXT(ROUND(((H$26-$C$26)*$C$4*$C33)/H$26, 2), "0.00")</f>
        <v>4.88</v>
      </c>
      <c r="I33" s="71">
        <f t="shared" si="24"/>
        <v>19164061.059999999</v>
      </c>
      <c r="J33" s="21" t="str">
        <f>TEXT(ROUND(((J$26-$C$26)*$C$4*$C33)/J$26, 2), "0.00")</f>
        <v>5.90</v>
      </c>
      <c r="K33" s="71">
        <f t="shared" si="24"/>
        <v>28962079.989999998</v>
      </c>
      <c r="L33" s="21" t="str">
        <f>TEXT(ROUND(((L$26-$C$26)*$C$4*$C33)/L$26, 2), "0.00")</f>
        <v>6.72</v>
      </c>
      <c r="M33" s="71">
        <f t="shared" si="24"/>
        <v>41234147.780000001</v>
      </c>
      <c r="N33" s="21" t="str">
        <f>TEXT(ROUND(((N$26-$C$26)*$C$4*$C33)/N$26, 2), "0.00")</f>
        <v>7.38</v>
      </c>
      <c r="O33" s="71">
        <f t="shared" si="24"/>
        <v>56604912.689999998</v>
      </c>
      <c r="P33" s="21" t="str">
        <f>TEXT(ROUND(((P$26-$C$26)*$C$4*$C33)/P$26, 2), "0.00")</f>
        <v>7.90</v>
      </c>
      <c r="Q33" s="71">
        <f t="shared" si="24"/>
        <v>75741668.400000006</v>
      </c>
      <c r="R33" s="21" t="str">
        <f>TEXT(ROUND(((R$26-$C$26)*$C$4*$C33)/R$26, 2), "0.00")</f>
        <v>8.32</v>
      </c>
      <c r="S33" s="71">
        <f t="shared" si="24"/>
        <v>99710550.799999997</v>
      </c>
      <c r="T33" s="21" t="str">
        <f>TEXT(ROUND(((T$26-$C$26)*$C$4*$C33)/T$26, 2), "0.00")</f>
        <v>8.66</v>
      </c>
      <c r="U33" s="71">
        <f t="shared" si="22"/>
        <v>129731576.01000001</v>
      </c>
      <c r="V33" s="21" t="str">
        <f>TEXT(ROUND(((V$26-$C$26)*$C$4*$C33)/V$26, 2), "0.00")</f>
        <v>8.93</v>
      </c>
      <c r="W33" s="71">
        <f t="shared" si="22"/>
        <v>167220406.15000001</v>
      </c>
      <c r="X33" s="2"/>
    </row>
    <row r="34" spans="1:25" ht="15.75" customHeight="1" thickTop="1" thickBot="1" x14ac:dyDescent="0.5">
      <c r="A34" s="4"/>
      <c r="B34" s="113" t="s">
        <v>40</v>
      </c>
      <c r="C34" s="113"/>
      <c r="D34" s="114" t="s">
        <v>23</v>
      </c>
      <c r="E34" s="114"/>
      <c r="F34" s="114"/>
      <c r="G34" s="114"/>
      <c r="H34" s="114"/>
      <c r="I34" s="114"/>
      <c r="J34" s="114"/>
      <c r="K34" s="114"/>
      <c r="L34" s="114"/>
      <c r="M34" s="114"/>
      <c r="N34" s="114" t="s">
        <v>43</v>
      </c>
      <c r="O34" s="114"/>
      <c r="P34" s="114"/>
      <c r="Q34" s="114"/>
      <c r="R34" s="114"/>
      <c r="S34" s="114"/>
      <c r="T34" s="114"/>
      <c r="U34" s="114"/>
      <c r="V34" s="114"/>
      <c r="W34" s="114"/>
      <c r="X34" s="2"/>
      <c r="Y34" s="8" t="s">
        <v>28</v>
      </c>
    </row>
    <row r="35" spans="1:25" ht="15.85" customHeight="1" thickTop="1" thickBot="1" x14ac:dyDescent="0.5">
      <c r="A35" s="4"/>
      <c r="B35" s="113"/>
      <c r="C35" s="113"/>
      <c r="D35" s="103" t="s">
        <v>26</v>
      </c>
      <c r="E35" s="103"/>
      <c r="F35" s="103" t="s">
        <v>18</v>
      </c>
      <c r="G35" s="103"/>
      <c r="H35" s="103" t="s">
        <v>19</v>
      </c>
      <c r="I35" s="103"/>
      <c r="J35" s="103" t="s">
        <v>20</v>
      </c>
      <c r="K35" s="103"/>
      <c r="L35" s="103" t="s">
        <v>21</v>
      </c>
      <c r="M35" s="103"/>
      <c r="N35" s="103" t="s">
        <v>26</v>
      </c>
      <c r="O35" s="103"/>
      <c r="P35" s="103" t="s">
        <v>18</v>
      </c>
      <c r="Q35" s="103"/>
      <c r="R35" s="103" t="s">
        <v>19</v>
      </c>
      <c r="S35" s="103"/>
      <c r="T35" s="103" t="s">
        <v>20</v>
      </c>
      <c r="U35" s="103"/>
      <c r="V35" s="103" t="s">
        <v>21</v>
      </c>
      <c r="W35" s="103"/>
      <c r="X35" s="2"/>
      <c r="Y35" s="112" t="s">
        <v>41</v>
      </c>
    </row>
    <row r="36" spans="1:25" ht="15.85" customHeight="1" thickTop="1" thickBot="1" x14ac:dyDescent="0.5">
      <c r="A36" s="4"/>
      <c r="B36" s="113"/>
      <c r="C36" s="113"/>
      <c r="D36" s="5" t="s">
        <v>14</v>
      </c>
      <c r="E36" s="5" t="s">
        <v>15</v>
      </c>
      <c r="F36" s="5" t="s">
        <v>14</v>
      </c>
      <c r="G36" s="5" t="s">
        <v>15</v>
      </c>
      <c r="H36" s="5" t="s">
        <v>14</v>
      </c>
      <c r="I36" s="5" t="s">
        <v>15</v>
      </c>
      <c r="J36" s="5" t="s">
        <v>14</v>
      </c>
      <c r="K36" s="5" t="s">
        <v>15</v>
      </c>
      <c r="L36" s="5" t="s">
        <v>14</v>
      </c>
      <c r="M36" s="5" t="s">
        <v>15</v>
      </c>
      <c r="N36" s="5" t="s">
        <v>14</v>
      </c>
      <c r="O36" s="5" t="s">
        <v>15</v>
      </c>
      <c r="P36" s="5" t="s">
        <v>14</v>
      </c>
      <c r="Q36" s="5" t="s">
        <v>15</v>
      </c>
      <c r="R36" s="5" t="s">
        <v>14</v>
      </c>
      <c r="S36" s="5" t="s">
        <v>15</v>
      </c>
      <c r="T36" s="5" t="s">
        <v>14</v>
      </c>
      <c r="U36" s="5" t="s">
        <v>15</v>
      </c>
      <c r="V36" s="5" t="s">
        <v>14</v>
      </c>
      <c r="W36" s="5" t="s">
        <v>15</v>
      </c>
      <c r="X36" s="2"/>
      <c r="Y36" s="112"/>
    </row>
    <row r="37" spans="1:25" ht="15.85" customHeight="1" thickTop="1" thickBot="1" x14ac:dyDescent="0.5">
      <c r="A37" s="4"/>
      <c r="B37" s="115" t="s">
        <v>56</v>
      </c>
      <c r="C37" s="115"/>
      <c r="D37" s="69" t="str">
        <f>TEXT(ROUND(L30/$C$4/5*100, 2), "0.00") &amp; "%"</f>
        <v>2.68%</v>
      </c>
      <c r="E37" s="70" t="str">
        <f>TEXT(ROUND(M30/$C$24/5*100, 2), "0.00") &amp; "%"</f>
        <v>8.18%</v>
      </c>
      <c r="F37" s="21">
        <f>ROUND($L30/5, 2)</f>
        <v>0.27</v>
      </c>
      <c r="G37" s="71">
        <f>$M30/5</f>
        <v>1644457.084</v>
      </c>
      <c r="H37" s="21">
        <f>F37*10</f>
        <v>2.7</v>
      </c>
      <c r="I37" s="71">
        <f>G37*10</f>
        <v>16444570.84</v>
      </c>
      <c r="J37" s="21">
        <f t="shared" ref="J37:M40" si="25">H37*10</f>
        <v>27</v>
      </c>
      <c r="K37" s="71">
        <f t="shared" si="25"/>
        <v>164445708.40000001</v>
      </c>
      <c r="L37" s="21">
        <f t="shared" si="25"/>
        <v>270</v>
      </c>
      <c r="M37" s="71">
        <f t="shared" si="25"/>
        <v>1644457084</v>
      </c>
      <c r="N37" s="69" t="str">
        <f>TEXT(ROUND((V30-L30)/$C$4/5*100, 2), "0.00") &amp; "%"</f>
        <v>0.90%</v>
      </c>
      <c r="O37" s="70" t="str">
        <f>TEXT(ROUND((W30-M30)/$C$24/5*100, 2), "0.00") &amp; "%"</f>
        <v>25.16%</v>
      </c>
      <c r="P37" s="21">
        <f>ROUND(($V30-$L30)/5, 2)</f>
        <v>0.09</v>
      </c>
      <c r="Q37" s="71">
        <f>ROUND(($W30-$M30)/5, 2)</f>
        <v>5059339.71</v>
      </c>
      <c r="R37" s="21">
        <f>P37*10</f>
        <v>0.89999999999999991</v>
      </c>
      <c r="S37" s="71">
        <f>Q37*10</f>
        <v>50593397.100000001</v>
      </c>
      <c r="T37" s="21">
        <f t="shared" ref="T37:W40" si="26">R37*10</f>
        <v>9</v>
      </c>
      <c r="U37" s="71">
        <f t="shared" si="26"/>
        <v>505933971</v>
      </c>
      <c r="V37" s="21">
        <f t="shared" si="26"/>
        <v>90</v>
      </c>
      <c r="W37" s="71">
        <f t="shared" si="26"/>
        <v>5059339710</v>
      </c>
      <c r="X37" s="2"/>
      <c r="Y37" s="21" t="str">
        <f>TEXT(ROUND(V30/$C$4/10*100, 2), "0.00") &amp; "%"</f>
        <v>1.79%</v>
      </c>
    </row>
    <row r="38" spans="1:25" ht="15.85" customHeight="1" thickTop="1" thickBot="1" x14ac:dyDescent="0.5">
      <c r="A38" s="4"/>
      <c r="B38" s="115" t="s">
        <v>1</v>
      </c>
      <c r="C38" s="115"/>
      <c r="D38" s="69" t="str">
        <f>TEXT(ROUND(L31/$C$4/5*100, 2), "0.00") &amp; "%"</f>
        <v>4.04%</v>
      </c>
      <c r="E38" s="70" t="str">
        <f t="shared" ref="E38:E40" si="27">TEXT(ROUND(M31/$C$24/5*100, 2), "0.00") &amp; "%"</f>
        <v>12.33%</v>
      </c>
      <c r="F38" s="21">
        <f>ROUND($L31/5, 2)</f>
        <v>0.4</v>
      </c>
      <c r="G38" s="71">
        <f t="shared" ref="G38:G39" si="28">ROUND($M31/5, 2)</f>
        <v>2478957.69</v>
      </c>
      <c r="H38" s="21">
        <f t="shared" ref="H38:I40" si="29">F38*10</f>
        <v>4</v>
      </c>
      <c r="I38" s="71">
        <f t="shared" si="29"/>
        <v>24789576.899999999</v>
      </c>
      <c r="J38" s="21">
        <f t="shared" si="25"/>
        <v>40</v>
      </c>
      <c r="K38" s="71">
        <f t="shared" si="25"/>
        <v>247895769</v>
      </c>
      <c r="L38" s="21">
        <f t="shared" si="25"/>
        <v>400</v>
      </c>
      <c r="M38" s="71">
        <f t="shared" si="25"/>
        <v>2478957690</v>
      </c>
      <c r="N38" s="69" t="str">
        <f>TEXT(ROUND((V31-L31)/$C$4/5*100, 2), "0.00") &amp; "%"</f>
        <v>1.32%</v>
      </c>
      <c r="O38" s="70" t="str">
        <f t="shared" ref="O38:O40" si="30">TEXT(ROUND((W31-M31)/$C$24/5*100, 2), "0.00") &amp; "%"</f>
        <v>37.59%</v>
      </c>
      <c r="P38" s="21">
        <f>ROUND(($V31-$L31)/5, 2)</f>
        <v>0.13</v>
      </c>
      <c r="Q38" s="71">
        <f>ROUND(($W31-$M31)/5, 2)</f>
        <v>7558011.8099999996</v>
      </c>
      <c r="R38" s="21">
        <f t="shared" ref="R38:S40" si="31">P38*10</f>
        <v>1.3</v>
      </c>
      <c r="S38" s="71">
        <f t="shared" si="31"/>
        <v>75580118.099999994</v>
      </c>
      <c r="T38" s="21">
        <f t="shared" si="26"/>
        <v>13</v>
      </c>
      <c r="U38" s="71">
        <f t="shared" si="26"/>
        <v>755801181</v>
      </c>
      <c r="V38" s="21">
        <f t="shared" si="26"/>
        <v>130</v>
      </c>
      <c r="W38" s="71">
        <f t="shared" si="26"/>
        <v>7558011810</v>
      </c>
      <c r="X38" s="2"/>
      <c r="Y38" s="22" t="str">
        <f>TEXT(ROUND(W31/$C24/10*100, 2), "0.00") &amp; "%"</f>
        <v>24.96%</v>
      </c>
    </row>
    <row r="39" spans="1:25" ht="15.85" customHeight="1" thickTop="1" thickBot="1" x14ac:dyDescent="0.5">
      <c r="B39" s="115" t="s">
        <v>2</v>
      </c>
      <c r="C39" s="115"/>
      <c r="D39" s="69" t="str">
        <f>TEXT(ROUND(L32/$C$4/5*100, 2), "0.00") &amp; "%"</f>
        <v>6.72%</v>
      </c>
      <c r="E39" s="70" t="str">
        <f t="shared" si="27"/>
        <v>20.51%</v>
      </c>
      <c r="F39" s="21">
        <f>ROUND($L32/5, 2)</f>
        <v>0.67</v>
      </c>
      <c r="G39" s="71">
        <f t="shared" si="28"/>
        <v>4123414.78</v>
      </c>
      <c r="H39" s="21">
        <f t="shared" si="29"/>
        <v>6.7</v>
      </c>
      <c r="I39" s="71">
        <f t="shared" si="29"/>
        <v>41234147.799999997</v>
      </c>
      <c r="J39" s="21">
        <f t="shared" si="25"/>
        <v>67</v>
      </c>
      <c r="K39" s="71">
        <f t="shared" si="25"/>
        <v>412341478</v>
      </c>
      <c r="L39" s="21">
        <f t="shared" si="25"/>
        <v>670</v>
      </c>
      <c r="M39" s="71">
        <f t="shared" si="25"/>
        <v>4123414780</v>
      </c>
      <c r="N39" s="69" t="str">
        <f>TEXT(ROUND((V32-L32)/$C$4/5*100, 2), "0.00") &amp; "%"</f>
        <v>2.20%</v>
      </c>
      <c r="O39" s="70" t="str">
        <f t="shared" si="30"/>
        <v>62.57%</v>
      </c>
      <c r="P39" s="21">
        <f>ROUND(($V32-$L32)/5, 2)</f>
        <v>0.22</v>
      </c>
      <c r="Q39" s="71">
        <f>ROUND(($W32-$M32)/5, 2)</f>
        <v>12579900.15</v>
      </c>
      <c r="R39" s="21">
        <f t="shared" si="31"/>
        <v>2.2000000000000002</v>
      </c>
      <c r="S39" s="71">
        <f t="shared" si="31"/>
        <v>125799001.5</v>
      </c>
      <c r="T39" s="21">
        <f t="shared" si="26"/>
        <v>22</v>
      </c>
      <c r="U39" s="71">
        <f t="shared" si="26"/>
        <v>1257990015</v>
      </c>
      <c r="V39" s="21">
        <f t="shared" si="26"/>
        <v>220</v>
      </c>
      <c r="W39" s="71">
        <f t="shared" si="26"/>
        <v>12579900150</v>
      </c>
      <c r="Y39" s="21" t="str">
        <f>TEXT(ROUND(V32/$C$4/10*100, 2), "0.00") &amp; "%"</f>
        <v>4.46%</v>
      </c>
    </row>
    <row r="40" spans="1:25" s="3" customFormat="1" ht="15.85" customHeight="1" thickTop="1" thickBot="1" x14ac:dyDescent="0.5">
      <c r="A40" s="1"/>
      <c r="B40" s="115" t="s">
        <v>0</v>
      </c>
      <c r="C40" s="115"/>
      <c r="D40" s="69" t="str">
        <f>TEXT(ROUND(L33/$C$4/5*100, 2), "0.00") &amp; "%"</f>
        <v>13.44%</v>
      </c>
      <c r="E40" s="70" t="str">
        <f t="shared" si="27"/>
        <v>41.02%</v>
      </c>
      <c r="F40" s="21">
        <f>ROUND($L33/5, 2)</f>
        <v>1.34</v>
      </c>
      <c r="G40" s="71">
        <f>ROUND($M33/5, 2)</f>
        <v>8246829.5599999996</v>
      </c>
      <c r="H40" s="21">
        <f t="shared" si="29"/>
        <v>13.4</v>
      </c>
      <c r="I40" s="71">
        <f t="shared" si="29"/>
        <v>82468295.599999994</v>
      </c>
      <c r="J40" s="21">
        <f t="shared" si="25"/>
        <v>134</v>
      </c>
      <c r="K40" s="71">
        <f t="shared" si="25"/>
        <v>824682956</v>
      </c>
      <c r="L40" s="21">
        <f t="shared" si="25"/>
        <v>1340</v>
      </c>
      <c r="M40" s="71">
        <f t="shared" si="25"/>
        <v>8246829560</v>
      </c>
      <c r="N40" s="69" t="str">
        <f>TEXT(ROUND((V33-L33)/$C$4/5*100, 2), "0.00") &amp; "%"</f>
        <v>4.42%</v>
      </c>
      <c r="O40" s="70" t="str">
        <f t="shared" si="30"/>
        <v>125.32%</v>
      </c>
      <c r="P40" s="21">
        <f>ROUND(($V33-$L33)/5, 2)</f>
        <v>0.44</v>
      </c>
      <c r="Q40" s="71">
        <f>ROUND(($W33-$M33)/5, 2)</f>
        <v>25197251.670000002</v>
      </c>
      <c r="R40" s="21">
        <f t="shared" si="31"/>
        <v>4.4000000000000004</v>
      </c>
      <c r="S40" s="71">
        <f t="shared" si="31"/>
        <v>251972516.70000002</v>
      </c>
      <c r="T40" s="21">
        <f t="shared" si="26"/>
        <v>44</v>
      </c>
      <c r="U40" s="71">
        <f t="shared" si="26"/>
        <v>2519725167</v>
      </c>
      <c r="V40" s="21">
        <f t="shared" si="26"/>
        <v>440</v>
      </c>
      <c r="W40" s="71">
        <f t="shared" si="26"/>
        <v>25197251670</v>
      </c>
      <c r="X40" s="1"/>
    </row>
    <row r="41" spans="1:25" ht="15.85" customHeight="1" thickTop="1" x14ac:dyDescent="0.45"/>
  </sheetData>
  <mergeCells count="143">
    <mergeCell ref="B40:C40"/>
    <mergeCell ref="T35:U35"/>
    <mergeCell ref="V35:W35"/>
    <mergeCell ref="Y35:Y36"/>
    <mergeCell ref="B37:C37"/>
    <mergeCell ref="B38:C38"/>
    <mergeCell ref="B39:C39"/>
    <mergeCell ref="H35:I35"/>
    <mergeCell ref="J35:K35"/>
    <mergeCell ref="L35:M35"/>
    <mergeCell ref="N35:O35"/>
    <mergeCell ref="P35:Q35"/>
    <mergeCell ref="R35:S35"/>
    <mergeCell ref="B34:C36"/>
    <mergeCell ref="D34:M34"/>
    <mergeCell ref="N34:W34"/>
    <mergeCell ref="D35:E35"/>
    <mergeCell ref="F35:G35"/>
    <mergeCell ref="B28:B29"/>
    <mergeCell ref="C28:C29"/>
    <mergeCell ref="D28:D29"/>
    <mergeCell ref="E28:E29"/>
    <mergeCell ref="F28:F29"/>
    <mergeCell ref="S28:S29"/>
    <mergeCell ref="T28:T29"/>
    <mergeCell ref="U28:U29"/>
    <mergeCell ref="V28:V29"/>
    <mergeCell ref="M28:M29"/>
    <mergeCell ref="N28:N29"/>
    <mergeCell ref="O28:O29"/>
    <mergeCell ref="P28:P29"/>
    <mergeCell ref="Q28:Q29"/>
    <mergeCell ref="R28:R29"/>
    <mergeCell ref="G28:G29"/>
    <mergeCell ref="H28:H29"/>
    <mergeCell ref="I28:I29"/>
    <mergeCell ref="J28:J29"/>
    <mergeCell ref="K28:K29"/>
    <mergeCell ref="L28:L29"/>
    <mergeCell ref="R27:S27"/>
    <mergeCell ref="T27:U27"/>
    <mergeCell ref="V27:W27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W28:W29"/>
    <mergeCell ref="B19:C19"/>
    <mergeCell ref="B20:C20"/>
    <mergeCell ref="B21:C21"/>
    <mergeCell ref="B22:C22"/>
    <mergeCell ref="D24:W24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V26:W26"/>
    <mergeCell ref="D27:E27"/>
    <mergeCell ref="F27:G27"/>
    <mergeCell ref="H27:I27"/>
    <mergeCell ref="J27:K27"/>
    <mergeCell ref="L27:M27"/>
    <mergeCell ref="N27:O27"/>
    <mergeCell ref="P27:Q27"/>
    <mergeCell ref="N17:O17"/>
    <mergeCell ref="P17:Q17"/>
    <mergeCell ref="R17:S17"/>
    <mergeCell ref="T17:U17"/>
    <mergeCell ref="V17:W17"/>
    <mergeCell ref="Y17:Y18"/>
    <mergeCell ref="V10:V11"/>
    <mergeCell ref="W10:W11"/>
    <mergeCell ref="B16:C18"/>
    <mergeCell ref="D16:M16"/>
    <mergeCell ref="N16:W16"/>
    <mergeCell ref="D17:E17"/>
    <mergeCell ref="F17:G17"/>
    <mergeCell ref="H17:I17"/>
    <mergeCell ref="J17:K17"/>
    <mergeCell ref="L17:M17"/>
    <mergeCell ref="P10:P11"/>
    <mergeCell ref="Q10:Q11"/>
    <mergeCell ref="R10:R11"/>
    <mergeCell ref="S10:S11"/>
    <mergeCell ref="T10:T11"/>
    <mergeCell ref="U10:U11"/>
    <mergeCell ref="J10:J11"/>
    <mergeCell ref="K10:K11"/>
    <mergeCell ref="L10:L11"/>
    <mergeCell ref="M10:M11"/>
    <mergeCell ref="N10:N11"/>
    <mergeCell ref="O10:O11"/>
    <mergeCell ref="T9:U9"/>
    <mergeCell ref="V9:W9"/>
    <mergeCell ref="B10:B11"/>
    <mergeCell ref="C10:C11"/>
    <mergeCell ref="D10:D11"/>
    <mergeCell ref="E10:E11"/>
    <mergeCell ref="F10:F11"/>
    <mergeCell ref="G10:G11"/>
    <mergeCell ref="H10:H11"/>
    <mergeCell ref="I10:I11"/>
    <mergeCell ref="V8:W8"/>
    <mergeCell ref="D9:E9"/>
    <mergeCell ref="F9:G9"/>
    <mergeCell ref="H9:I9"/>
    <mergeCell ref="J9:K9"/>
    <mergeCell ref="L9:M9"/>
    <mergeCell ref="N9:O9"/>
    <mergeCell ref="P9:Q9"/>
    <mergeCell ref="R9:S9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D2:W4"/>
    <mergeCell ref="D6:W6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AEC7-15A4-42FD-A68E-D649A40B312F}">
  <dimension ref="A1:Y41"/>
  <sheetViews>
    <sheetView zoomScaleNormal="100" workbookViewId="0">
      <selection activeCell="D2" sqref="D2:W4"/>
    </sheetView>
  </sheetViews>
  <sheetFormatPr defaultRowHeight="15.85" customHeight="1" x14ac:dyDescent="0.45"/>
  <cols>
    <col min="1" max="1" width="1.6640625" style="1" customWidth="1"/>
    <col min="2" max="2" width="27.59765625" style="1" customWidth="1"/>
    <col min="3" max="3" width="10" style="25" customWidth="1"/>
    <col min="4" max="23" width="9.6640625" style="1" customWidth="1"/>
    <col min="24" max="24" width="1.6640625" style="1" customWidth="1"/>
    <col min="25" max="25" width="14.46484375" style="1" customWidth="1"/>
    <col min="26" max="26" width="1.53125" style="1" customWidth="1"/>
    <col min="27" max="16384" width="9.06640625" style="1"/>
  </cols>
  <sheetData>
    <row r="1" spans="1:25" ht="9.4" customHeight="1" thickBot="1" x14ac:dyDescent="0.5">
      <c r="B1" s="9"/>
      <c r="C1" s="24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9"/>
      <c r="W1" s="9"/>
    </row>
    <row r="2" spans="1:25" ht="15.85" customHeight="1" thickTop="1" thickBot="1" x14ac:dyDescent="0.5">
      <c r="A2" s="4"/>
      <c r="B2" s="6" t="s">
        <v>29</v>
      </c>
      <c r="C2" s="11" t="s">
        <v>14</v>
      </c>
      <c r="D2" s="101" t="s">
        <v>55</v>
      </c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2"/>
      <c r="Y2" s="13">
        <v>45891</v>
      </c>
    </row>
    <row r="3" spans="1:25" ht="15.85" customHeight="1" thickTop="1" thickBot="1" x14ac:dyDescent="0.5">
      <c r="A3" s="4"/>
      <c r="B3" s="6" t="str">
        <f>"Stability Asset Fully Diluted Units"</f>
        <v>Stability Asset Fully Diluted Units</v>
      </c>
      <c r="C3" s="14">
        <v>21000000</v>
      </c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2"/>
      <c r="Y3" s="15" t="s">
        <v>25</v>
      </c>
    </row>
    <row r="4" spans="1:25" ht="15.85" customHeight="1" thickTop="1" thickBot="1" x14ac:dyDescent="0.5">
      <c r="A4" s="4"/>
      <c r="B4" s="6" t="s">
        <v>3</v>
      </c>
      <c r="C4" s="11">
        <v>10</v>
      </c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2"/>
      <c r="Y4" s="15"/>
    </row>
    <row r="5" spans="1:25" ht="15.85" customHeight="1" thickTop="1" thickBot="1" x14ac:dyDescent="0.5">
      <c r="A5" s="4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2"/>
    </row>
    <row r="6" spans="1:25" ht="15.75" customHeight="1" thickTop="1" thickBot="1" x14ac:dyDescent="0.5">
      <c r="A6" s="4"/>
      <c r="B6" s="6" t="s">
        <v>24</v>
      </c>
      <c r="C6" s="7">
        <f>$C$4*C8</f>
        <v>1000000</v>
      </c>
      <c r="D6" s="102" t="str">
        <f>"2025 - 2035 : "&amp;$C7*100&amp;"% " &amp; B7</f>
        <v>2025 - 2035 : 40% BTC 10Y CAGR</v>
      </c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2"/>
      <c r="Y6" s="23"/>
    </row>
    <row r="7" spans="1:25" ht="15.85" customHeight="1" thickTop="1" thickBot="1" x14ac:dyDescent="0.5">
      <c r="A7" s="4"/>
      <c r="B7" s="6" t="str">
        <f>$C$2 &amp; " 10Y CAGR"</f>
        <v>BTC 10Y CAGR</v>
      </c>
      <c r="C7" s="16">
        <v>0.4</v>
      </c>
      <c r="D7" s="103" t="s">
        <v>4</v>
      </c>
      <c r="E7" s="103"/>
      <c r="F7" s="103" t="s">
        <v>5</v>
      </c>
      <c r="G7" s="103"/>
      <c r="H7" s="103" t="s">
        <v>6</v>
      </c>
      <c r="I7" s="103"/>
      <c r="J7" s="103" t="s">
        <v>7</v>
      </c>
      <c r="K7" s="103"/>
      <c r="L7" s="103" t="s">
        <v>8</v>
      </c>
      <c r="M7" s="103"/>
      <c r="N7" s="103" t="s">
        <v>9</v>
      </c>
      <c r="O7" s="103"/>
      <c r="P7" s="103" t="s">
        <v>10</v>
      </c>
      <c r="Q7" s="103"/>
      <c r="R7" s="103" t="s">
        <v>11</v>
      </c>
      <c r="S7" s="103"/>
      <c r="T7" s="103" t="s">
        <v>12</v>
      </c>
      <c r="U7" s="103"/>
      <c r="V7" s="103" t="s">
        <v>13</v>
      </c>
      <c r="W7" s="103"/>
      <c r="X7" s="2"/>
      <c r="Y7" s="17"/>
    </row>
    <row r="8" spans="1:25" ht="15.85" customHeight="1" thickTop="1" thickBot="1" x14ac:dyDescent="0.5">
      <c r="A8" s="4"/>
      <c r="B8" s="6" t="str">
        <f>$C$2 &amp; " USD Value"</f>
        <v>BTC USD Value</v>
      </c>
      <c r="C8" s="7">
        <v>100000</v>
      </c>
      <c r="D8" s="104">
        <f>C8*C7+C8</f>
        <v>140000</v>
      </c>
      <c r="E8" s="104"/>
      <c r="F8" s="104">
        <f>D8*C7+D8</f>
        <v>196000</v>
      </c>
      <c r="G8" s="104"/>
      <c r="H8" s="104">
        <f>F8*C7+F8</f>
        <v>274400</v>
      </c>
      <c r="I8" s="104"/>
      <c r="J8" s="104">
        <f>H8*C7+H8</f>
        <v>384160</v>
      </c>
      <c r="K8" s="104"/>
      <c r="L8" s="104">
        <f>J8*C7+J8</f>
        <v>537824</v>
      </c>
      <c r="M8" s="104"/>
      <c r="N8" s="104">
        <f>L8*C7+L8</f>
        <v>752953.6</v>
      </c>
      <c r="O8" s="104"/>
      <c r="P8" s="104">
        <f>N8*C7+N8</f>
        <v>1054135.04</v>
      </c>
      <c r="Q8" s="104"/>
      <c r="R8" s="104">
        <f>P8*C7+P8</f>
        <v>1475789.0560000001</v>
      </c>
      <c r="S8" s="104"/>
      <c r="T8" s="104">
        <f>R8*C7+R8</f>
        <v>2066104.6784000001</v>
      </c>
      <c r="U8" s="104"/>
      <c r="V8" s="104">
        <f>T8*C7+T8</f>
        <v>2892546.5497600003</v>
      </c>
      <c r="W8" s="104"/>
      <c r="X8" s="2"/>
    </row>
    <row r="9" spans="1:25" ht="15.85" customHeight="1" thickTop="1" thickBot="1" x14ac:dyDescent="0.5">
      <c r="A9" s="4"/>
      <c r="B9" s="6" t="str">
        <f>$C$2 &amp; " USD Marketcap"</f>
        <v>BTC USD Marketcap</v>
      </c>
      <c r="C9" s="18">
        <f>C8*$C$3</f>
        <v>2100000000000</v>
      </c>
      <c r="D9" s="105">
        <f>D8*$C$3</f>
        <v>2940000000000</v>
      </c>
      <c r="E9" s="105"/>
      <c r="F9" s="105">
        <f>F8*$C$3</f>
        <v>4116000000000</v>
      </c>
      <c r="G9" s="105"/>
      <c r="H9" s="105">
        <f>H8*$C$3</f>
        <v>5762400000000</v>
      </c>
      <c r="I9" s="105"/>
      <c r="J9" s="105">
        <f>J8*$C$3</f>
        <v>8067360000000</v>
      </c>
      <c r="K9" s="105"/>
      <c r="L9" s="105">
        <f>L8*$C$3</f>
        <v>11294304000000</v>
      </c>
      <c r="M9" s="105"/>
      <c r="N9" s="105">
        <f>N8*$C$3</f>
        <v>15812025600000</v>
      </c>
      <c r="O9" s="105"/>
      <c r="P9" s="105">
        <f>P8*$C$3</f>
        <v>22136835840000</v>
      </c>
      <c r="Q9" s="105"/>
      <c r="R9" s="105">
        <f>R8*$C$3</f>
        <v>30991570176000.004</v>
      </c>
      <c r="S9" s="105"/>
      <c r="T9" s="105">
        <f>T8*$C$3</f>
        <v>43388198246400</v>
      </c>
      <c r="U9" s="105"/>
      <c r="V9" s="105">
        <f>V8*$C$3</f>
        <v>60743477544960.008</v>
      </c>
      <c r="W9" s="105"/>
      <c r="X9" s="2"/>
    </row>
    <row r="10" spans="1:25" ht="15.85" customHeight="1" thickTop="1" x14ac:dyDescent="0.45">
      <c r="A10" s="4"/>
      <c r="B10" s="108" t="s">
        <v>17</v>
      </c>
      <c r="C10" s="110" t="s">
        <v>22</v>
      </c>
      <c r="D10" s="106" t="s">
        <v>14</v>
      </c>
      <c r="E10" s="106" t="s">
        <v>15</v>
      </c>
      <c r="F10" s="106" t="s">
        <v>14</v>
      </c>
      <c r="G10" s="106" t="s">
        <v>15</v>
      </c>
      <c r="H10" s="106" t="s">
        <v>14</v>
      </c>
      <c r="I10" s="106" t="s">
        <v>15</v>
      </c>
      <c r="J10" s="106" t="s">
        <v>14</v>
      </c>
      <c r="K10" s="106" t="s">
        <v>15</v>
      </c>
      <c r="L10" s="106" t="s">
        <v>14</v>
      </c>
      <c r="M10" s="106" t="s">
        <v>15</v>
      </c>
      <c r="N10" s="106" t="s">
        <v>14</v>
      </c>
      <c r="O10" s="106" t="s">
        <v>15</v>
      </c>
      <c r="P10" s="106" t="s">
        <v>14</v>
      </c>
      <c r="Q10" s="106" t="s">
        <v>15</v>
      </c>
      <c r="R10" s="106" t="s">
        <v>14</v>
      </c>
      <c r="S10" s="106" t="s">
        <v>15</v>
      </c>
      <c r="T10" s="106" t="s">
        <v>14</v>
      </c>
      <c r="U10" s="106" t="s">
        <v>15</v>
      </c>
      <c r="V10" s="106" t="s">
        <v>14</v>
      </c>
      <c r="W10" s="106" t="s">
        <v>15</v>
      </c>
      <c r="X10" s="2"/>
    </row>
    <row r="11" spans="1:25" ht="15.85" customHeight="1" thickBot="1" x14ac:dyDescent="0.5">
      <c r="A11" s="4"/>
      <c r="B11" s="109"/>
      <c r="C11" s="111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2"/>
    </row>
    <row r="12" spans="1:25" ht="15.85" customHeight="1" thickTop="1" thickBot="1" x14ac:dyDescent="0.5">
      <c r="A12" s="4"/>
      <c r="B12" s="6" t="s">
        <v>56</v>
      </c>
      <c r="C12" s="19">
        <v>0.2</v>
      </c>
      <c r="D12" s="21" t="str">
        <f>TEXT(ROUND(((D$8-$C$8)*$C$4*$C12)/D$8, 2), "0.00")</f>
        <v>0.57</v>
      </c>
      <c r="E12" s="71">
        <f>ROUND(D12 * D$8, 2)</f>
        <v>79800</v>
      </c>
      <c r="F12" s="21" t="str">
        <f>TEXT(ROUND(((F$8-$C$8)*$C$4*$C12)/F$8, 2), "0.00")</f>
        <v>0.98</v>
      </c>
      <c r="G12" s="71">
        <f t="shared" ref="G12:G15" si="0">ROUND(F12 * F$8, 2)</f>
        <v>192080</v>
      </c>
      <c r="H12" s="21" t="str">
        <f>TEXT(ROUND(((H$8-$C$8)*$C$4*$C12)/H$8, 2), "0.00")</f>
        <v>1.27</v>
      </c>
      <c r="I12" s="71">
        <f t="shared" ref="I12:I15" si="1">ROUND(H12 * H$8, 2)</f>
        <v>348488</v>
      </c>
      <c r="J12" s="21" t="str">
        <f>TEXT(ROUND(((J$8-$C$8)*$C$4*$C12)/J$8, 2), "0.00")</f>
        <v>1.48</v>
      </c>
      <c r="K12" s="71">
        <f t="shared" ref="K12:K15" si="2">ROUND(J12 * J$8, 2)</f>
        <v>568556.80000000005</v>
      </c>
      <c r="L12" s="21" t="str">
        <f>TEXT(ROUND(((L$8-$C$8)*$C$4*$C12)/L$8, 2), "0.00")</f>
        <v>1.63</v>
      </c>
      <c r="M12" s="71">
        <f t="shared" ref="M12:M15" si="3">ROUND(L12 * L$8, 2)</f>
        <v>876653.12</v>
      </c>
      <c r="N12" s="21" t="str">
        <f>TEXT(ROUND(((N$8-$C$8)*$C$4*$C12)/N$8, 2), "0.00")</f>
        <v>1.73</v>
      </c>
      <c r="O12" s="71">
        <f t="shared" ref="O12:O15" si="4">ROUND(N12 * N$8, 2)</f>
        <v>1302609.73</v>
      </c>
      <c r="P12" s="21" t="str">
        <f>TEXT(ROUND(((P$8-$C$8)*$C$4*$C12)/P$8, 2), "0.00")</f>
        <v>1.81</v>
      </c>
      <c r="Q12" s="71">
        <f t="shared" ref="Q12:Q15" si="5">ROUND(P12 * P$8, 2)</f>
        <v>1907984.42</v>
      </c>
      <c r="R12" s="21" t="str">
        <f>TEXT(ROUND(((R$8-$C$8)*$C$4*$C12)/R$8, 2), "0.00")</f>
        <v>1.86</v>
      </c>
      <c r="S12" s="71">
        <f t="shared" ref="S12:S15" si="6">ROUND(R12 * R$8, 2)</f>
        <v>2744967.64</v>
      </c>
      <c r="T12" s="21" t="str">
        <f>TEXT(ROUND(((T$8-$C$8)*$C$4*$C12)/T$8, 2), "0.00")</f>
        <v>1.90</v>
      </c>
      <c r="U12" s="71">
        <f t="shared" ref="U12:U15" si="7">ROUND(T12 * T$8, 2)</f>
        <v>3925598.89</v>
      </c>
      <c r="V12" s="21" t="str">
        <f>TEXT(ROUND(((V$8-$C$8)*$C$4*$C12)/V$8, 2), "0.00")</f>
        <v>1.93</v>
      </c>
      <c r="W12" s="71">
        <f t="shared" ref="W12:W15" si="8">ROUND(V12 * V$8, 2)</f>
        <v>5582614.8399999999</v>
      </c>
      <c r="X12" s="2"/>
    </row>
    <row r="13" spans="1:25" ht="15.85" customHeight="1" thickTop="1" thickBot="1" x14ac:dyDescent="0.5">
      <c r="A13" s="4"/>
      <c r="B13" s="6" t="s">
        <v>1</v>
      </c>
      <c r="C13" s="19">
        <v>0.3</v>
      </c>
      <c r="D13" s="21" t="str">
        <f>TEXT(ROUND(((D$8-$C$8)*$C$4*$C13)/D$8, 2), "0.00")</f>
        <v>0.86</v>
      </c>
      <c r="E13" s="71">
        <f>ROUND(D13 * D$8, 2)</f>
        <v>120400</v>
      </c>
      <c r="F13" s="21" t="str">
        <f>TEXT(ROUND(((F$8-$C$8)*$C$4*$C13)/F$8, 2), "0.00")</f>
        <v>1.47</v>
      </c>
      <c r="G13" s="71">
        <f t="shared" si="0"/>
        <v>288120</v>
      </c>
      <c r="H13" s="21" t="str">
        <f>TEXT(ROUND(((H$8-$C$8)*$C$4*$C13)/H$8, 2), "0.00")</f>
        <v>1.91</v>
      </c>
      <c r="I13" s="71">
        <f t="shared" si="1"/>
        <v>524104</v>
      </c>
      <c r="J13" s="21" t="str">
        <f>TEXT(ROUND(((J$8-$C$8)*$C$4*$C13)/J$8, 2), "0.00")</f>
        <v>2.22</v>
      </c>
      <c r="K13" s="71">
        <f t="shared" si="2"/>
        <v>852835.2</v>
      </c>
      <c r="L13" s="21" t="str">
        <f>TEXT(ROUND(((L$8-$C$8)*$C$4*$C13)/L$8, 2), "0.00")</f>
        <v>2.44</v>
      </c>
      <c r="M13" s="71">
        <f t="shared" si="3"/>
        <v>1312290.56</v>
      </c>
      <c r="N13" s="21" t="str">
        <f>TEXT(ROUND(((N$8-$C$8)*$C$4*$C13)/N$8, 2), "0.00")</f>
        <v>2.60</v>
      </c>
      <c r="O13" s="71">
        <f t="shared" si="4"/>
        <v>1957679.36</v>
      </c>
      <c r="P13" s="21" t="str">
        <f>TEXT(ROUND(((P$8-$C$8)*$C$4*$C13)/P$8, 2), "0.00")</f>
        <v>2.72</v>
      </c>
      <c r="Q13" s="71">
        <f t="shared" si="5"/>
        <v>2867247.31</v>
      </c>
      <c r="R13" s="21" t="str">
        <f>TEXT(ROUND(((R$8-$C$8)*$C$4*$C13)/R$8, 2), "0.00")</f>
        <v>2.80</v>
      </c>
      <c r="S13" s="71">
        <f t="shared" si="6"/>
        <v>4132209.36</v>
      </c>
      <c r="T13" s="21" t="str">
        <f>TEXT(ROUND(((T$8-$C$8)*$C$4*$C13)/T$8, 2), "0.00")</f>
        <v>2.85</v>
      </c>
      <c r="U13" s="71">
        <f t="shared" si="7"/>
        <v>5888398.3300000001</v>
      </c>
      <c r="V13" s="21" t="str">
        <f>TEXT(ROUND(((V$8-$C$8)*$C$4*$C13)/V$8, 2), "0.00")</f>
        <v>2.90</v>
      </c>
      <c r="W13" s="71">
        <f t="shared" si="8"/>
        <v>8388384.9900000002</v>
      </c>
      <c r="X13" s="2"/>
    </row>
    <row r="14" spans="1:25" ht="15.85" customHeight="1" thickTop="1" thickBot="1" x14ac:dyDescent="0.5">
      <c r="A14" s="4"/>
      <c r="B14" s="6" t="s">
        <v>2</v>
      </c>
      <c r="C14" s="19">
        <v>0.5</v>
      </c>
      <c r="D14" s="21" t="str">
        <f>TEXT(ROUND(((D$8-$C$8)*$C$4*$C14)/D$8, 2), "0.00")</f>
        <v>1.43</v>
      </c>
      <c r="E14" s="71">
        <f>ROUND(D14 * D$8, 2)</f>
        <v>200200</v>
      </c>
      <c r="F14" s="21" t="str">
        <f>TEXT(ROUND(((F$8-$C$8)*$C$4*$C14)/F$8, 2), "0.00")</f>
        <v>2.45</v>
      </c>
      <c r="G14" s="71">
        <f t="shared" si="0"/>
        <v>480200</v>
      </c>
      <c r="H14" s="21" t="str">
        <f>TEXT(ROUND(((H$8-$C$8)*$C$4*$C14)/H$8, 2), "0.00")</f>
        <v>3.18</v>
      </c>
      <c r="I14" s="71">
        <f t="shared" si="1"/>
        <v>872592</v>
      </c>
      <c r="J14" s="21" t="str">
        <f>TEXT(ROUND(((J$8-$C$8)*$C$4*$C14)/J$8, 2), "0.00")</f>
        <v>3.70</v>
      </c>
      <c r="K14" s="71">
        <f t="shared" si="2"/>
        <v>1421392</v>
      </c>
      <c r="L14" s="21" t="str">
        <f>TEXT(ROUND(((L$8-$C$8)*$C$4*$C14)/L$8, 2), "0.00")</f>
        <v>4.07</v>
      </c>
      <c r="M14" s="71">
        <f t="shared" si="3"/>
        <v>2188943.6800000002</v>
      </c>
      <c r="N14" s="21" t="str">
        <f>TEXT(ROUND(((N$8-$C$8)*$C$4*$C14)/N$8, 2), "0.00")</f>
        <v>4.34</v>
      </c>
      <c r="O14" s="71">
        <f t="shared" si="4"/>
        <v>3267818.62</v>
      </c>
      <c r="P14" s="21" t="str">
        <f>TEXT(ROUND(((P$8-$C$8)*$C$4*$C14)/P$8, 2), "0.00")</f>
        <v>4.53</v>
      </c>
      <c r="Q14" s="71">
        <f t="shared" si="5"/>
        <v>4775231.7300000004</v>
      </c>
      <c r="R14" s="21" t="str">
        <f>TEXT(ROUND(((R$8-$C$8)*$C$4*$C14)/R$8, 2), "0.00")</f>
        <v>4.66</v>
      </c>
      <c r="S14" s="71">
        <f t="shared" si="6"/>
        <v>6877177</v>
      </c>
      <c r="T14" s="21" t="str">
        <f>TEXT(ROUND(((T$8-$C$8)*$C$4*$C14)/T$8, 2), "0.00")</f>
        <v>4.76</v>
      </c>
      <c r="U14" s="71">
        <f t="shared" si="7"/>
        <v>9834658.2699999996</v>
      </c>
      <c r="V14" s="21" t="str">
        <f>TEXT(ROUND(((V$8-$C$8)*$C$4*$C14)/V$8, 2), "0.00")</f>
        <v>4.83</v>
      </c>
      <c r="W14" s="71">
        <f t="shared" si="8"/>
        <v>13970999.84</v>
      </c>
      <c r="X14" s="2"/>
    </row>
    <row r="15" spans="1:25" ht="15.85" customHeight="1" thickTop="1" thickBot="1" x14ac:dyDescent="0.5">
      <c r="A15" s="4"/>
      <c r="B15" s="6" t="s">
        <v>0</v>
      </c>
      <c r="C15" s="19">
        <f>SUM(C12:C14)</f>
        <v>1</v>
      </c>
      <c r="D15" s="21" t="str">
        <f>TEXT(ROUND(((D$8-$C$8)*$C$4*$C15)/D$8, 2), "0.00")</f>
        <v>2.86</v>
      </c>
      <c r="E15" s="71">
        <f>ROUND(D15 * D$8, 2)</f>
        <v>400400</v>
      </c>
      <c r="F15" s="21" t="str">
        <f>TEXT(ROUND(((F$8-$C$8)*$C$4*$C15)/F$8, 2), "0.00")</f>
        <v>4.90</v>
      </c>
      <c r="G15" s="71">
        <f t="shared" si="0"/>
        <v>960400</v>
      </c>
      <c r="H15" s="21" t="str">
        <f>TEXT(ROUND(((H$8-$C$8)*$C$4*$C15)/H$8, 2), "0.00")</f>
        <v>6.36</v>
      </c>
      <c r="I15" s="71">
        <f t="shared" si="1"/>
        <v>1745184</v>
      </c>
      <c r="J15" s="21" t="str">
        <f>TEXT(ROUND(((J$8-$C$8)*$C$4*$C15)/J$8, 2), "0.00")</f>
        <v>7.40</v>
      </c>
      <c r="K15" s="71">
        <f t="shared" si="2"/>
        <v>2842784</v>
      </c>
      <c r="L15" s="21" t="str">
        <f>TEXT(ROUND(((L$8-$C$8)*$C$4*$C15)/L$8, 2), "0.00")</f>
        <v>8.14</v>
      </c>
      <c r="M15" s="71">
        <f t="shared" si="3"/>
        <v>4377887.3600000003</v>
      </c>
      <c r="N15" s="21" t="str">
        <f>TEXT(ROUND(((N$8-$C$8)*$C$4*$C15)/N$8, 2), "0.00")</f>
        <v>8.67</v>
      </c>
      <c r="O15" s="71">
        <f t="shared" si="4"/>
        <v>6528107.71</v>
      </c>
      <c r="P15" s="21" t="str">
        <f>TEXT(ROUND(((P$8-$C$8)*$C$4*$C15)/P$8, 2), "0.00")</f>
        <v>9.05</v>
      </c>
      <c r="Q15" s="71">
        <f t="shared" si="5"/>
        <v>9539922.1099999994</v>
      </c>
      <c r="R15" s="21" t="str">
        <f>TEXT(ROUND(((R$8-$C$8)*$C$4*$C15)/R$8, 2), "0.00")</f>
        <v>9.32</v>
      </c>
      <c r="S15" s="71">
        <f t="shared" si="6"/>
        <v>13754354</v>
      </c>
      <c r="T15" s="21" t="str">
        <f>TEXT(ROUND(((T$8-$C$8)*$C$4*$C15)/T$8, 2), "0.00")</f>
        <v>9.52</v>
      </c>
      <c r="U15" s="71">
        <f t="shared" si="7"/>
        <v>19669316.539999999</v>
      </c>
      <c r="V15" s="21" t="str">
        <f>TEXT(ROUND(((V$8-$C$8)*$C$4*$C15)/V$8, 2), "0.00")</f>
        <v>9.65</v>
      </c>
      <c r="W15" s="71">
        <f t="shared" si="8"/>
        <v>27913074.210000001</v>
      </c>
      <c r="X15" s="2"/>
      <c r="Y15" s="9"/>
    </row>
    <row r="16" spans="1:25" ht="15.85" customHeight="1" thickTop="1" thickBot="1" x14ac:dyDescent="0.5">
      <c r="A16" s="4"/>
      <c r="B16" s="113" t="s">
        <v>40</v>
      </c>
      <c r="C16" s="113"/>
      <c r="D16" s="114" t="s">
        <v>16</v>
      </c>
      <c r="E16" s="114"/>
      <c r="F16" s="114"/>
      <c r="G16" s="114"/>
      <c r="H16" s="114"/>
      <c r="I16" s="114"/>
      <c r="J16" s="114"/>
      <c r="K16" s="114"/>
      <c r="L16" s="114"/>
      <c r="M16" s="114"/>
      <c r="N16" s="114" t="s">
        <v>42</v>
      </c>
      <c r="O16" s="114"/>
      <c r="P16" s="114"/>
      <c r="Q16" s="114"/>
      <c r="R16" s="114"/>
      <c r="S16" s="114"/>
      <c r="T16" s="114"/>
      <c r="U16" s="114"/>
      <c r="V16" s="114"/>
      <c r="W16" s="114"/>
      <c r="X16" s="12"/>
      <c r="Y16" s="8" t="s">
        <v>27</v>
      </c>
    </row>
    <row r="17" spans="1:25" ht="15.85" customHeight="1" thickTop="1" thickBot="1" x14ac:dyDescent="0.5">
      <c r="A17" s="4"/>
      <c r="B17" s="113"/>
      <c r="C17" s="113"/>
      <c r="D17" s="103" t="s">
        <v>26</v>
      </c>
      <c r="E17" s="103"/>
      <c r="F17" s="103" t="s">
        <v>18</v>
      </c>
      <c r="G17" s="103"/>
      <c r="H17" s="103" t="s">
        <v>19</v>
      </c>
      <c r="I17" s="103"/>
      <c r="J17" s="103" t="s">
        <v>20</v>
      </c>
      <c r="K17" s="103"/>
      <c r="L17" s="103" t="s">
        <v>21</v>
      </c>
      <c r="M17" s="103"/>
      <c r="N17" s="103" t="s">
        <v>26</v>
      </c>
      <c r="O17" s="103"/>
      <c r="P17" s="103" t="s">
        <v>18</v>
      </c>
      <c r="Q17" s="103"/>
      <c r="R17" s="103" t="s">
        <v>19</v>
      </c>
      <c r="S17" s="103"/>
      <c r="T17" s="103" t="s">
        <v>20</v>
      </c>
      <c r="U17" s="103"/>
      <c r="V17" s="103" t="s">
        <v>21</v>
      </c>
      <c r="W17" s="103"/>
      <c r="X17" s="12"/>
      <c r="Y17" s="112" t="s">
        <v>41</v>
      </c>
    </row>
    <row r="18" spans="1:25" ht="15.85" customHeight="1" thickTop="1" thickBot="1" x14ac:dyDescent="0.5">
      <c r="A18" s="4"/>
      <c r="B18" s="113"/>
      <c r="C18" s="113"/>
      <c r="D18" s="5" t="s">
        <v>14</v>
      </c>
      <c r="E18" s="5" t="s">
        <v>15</v>
      </c>
      <c r="F18" s="5" t="s">
        <v>14</v>
      </c>
      <c r="G18" s="5" t="s">
        <v>15</v>
      </c>
      <c r="H18" s="5" t="s">
        <v>14</v>
      </c>
      <c r="I18" s="5" t="s">
        <v>15</v>
      </c>
      <c r="J18" s="5" t="s">
        <v>14</v>
      </c>
      <c r="K18" s="5" t="s">
        <v>15</v>
      </c>
      <c r="L18" s="5" t="s">
        <v>14</v>
      </c>
      <c r="M18" s="5" t="s">
        <v>15</v>
      </c>
      <c r="N18" s="5" t="s">
        <v>14</v>
      </c>
      <c r="O18" s="5" t="s">
        <v>15</v>
      </c>
      <c r="P18" s="5" t="s">
        <v>14</v>
      </c>
      <c r="Q18" s="5" t="s">
        <v>15</v>
      </c>
      <c r="R18" s="5" t="s">
        <v>14</v>
      </c>
      <c r="S18" s="5" t="s">
        <v>15</v>
      </c>
      <c r="T18" s="5" t="s">
        <v>14</v>
      </c>
      <c r="U18" s="5" t="s">
        <v>15</v>
      </c>
      <c r="V18" s="5" t="s">
        <v>14</v>
      </c>
      <c r="W18" s="5" t="s">
        <v>15</v>
      </c>
      <c r="X18" s="12"/>
      <c r="Y18" s="112"/>
    </row>
    <row r="19" spans="1:25" ht="15.85" customHeight="1" thickTop="1" thickBot="1" x14ac:dyDescent="0.5">
      <c r="A19" s="4"/>
      <c r="B19" s="115" t="s">
        <v>56</v>
      </c>
      <c r="C19" s="115"/>
      <c r="D19" s="69" t="str">
        <f>TEXT(ROUND(L12/$C$4/5*100, 2), "0.00") &amp; "%"</f>
        <v>3.26%</v>
      </c>
      <c r="E19" s="70" t="str">
        <f>TEXT(ROUND(M12/$C$6/5*100, 2), "0.00") &amp; "%"</f>
        <v>17.53%</v>
      </c>
      <c r="F19" s="21">
        <f>ROUND($L12/5, 2)</f>
        <v>0.33</v>
      </c>
      <c r="G19" s="71">
        <f>$M12/5</f>
        <v>175330.62400000001</v>
      </c>
      <c r="H19" s="21">
        <f>F19*10</f>
        <v>3.3000000000000003</v>
      </c>
      <c r="I19" s="71">
        <f>G19*10</f>
        <v>1753306.2400000002</v>
      </c>
      <c r="J19" s="21">
        <f t="shared" ref="J19:M22" si="9">H19*10</f>
        <v>33</v>
      </c>
      <c r="K19" s="71">
        <f t="shared" si="9"/>
        <v>17533062.400000002</v>
      </c>
      <c r="L19" s="21">
        <f t="shared" si="9"/>
        <v>330</v>
      </c>
      <c r="M19" s="71">
        <f t="shared" si="9"/>
        <v>175330624.00000003</v>
      </c>
      <c r="N19" s="69" t="str">
        <f>TEXT(ROUND((V12-L12)/$C$4/5*100, 2), "0.00") &amp; "%"</f>
        <v>0.60%</v>
      </c>
      <c r="O19" s="70" t="str">
        <f>TEXT(ROUND((W12-M12)/$C$6/5*100, 2), "0.00") &amp; "%"</f>
        <v>94.12%</v>
      </c>
      <c r="P19" s="21">
        <f>ROUND(($V12-$L12)/5, 2)</f>
        <v>0.06</v>
      </c>
      <c r="Q19" s="71">
        <f>ROUND(($W12-$M12)/5, 2)</f>
        <v>941192.34</v>
      </c>
      <c r="R19" s="21">
        <f>P19*10</f>
        <v>0.6</v>
      </c>
      <c r="S19" s="71">
        <f>Q19*10</f>
        <v>9411923.4000000004</v>
      </c>
      <c r="T19" s="21">
        <f t="shared" ref="T19:W22" si="10">R19*10</f>
        <v>6</v>
      </c>
      <c r="U19" s="71">
        <f t="shared" si="10"/>
        <v>94119234</v>
      </c>
      <c r="V19" s="21">
        <f t="shared" si="10"/>
        <v>60</v>
      </c>
      <c r="W19" s="71">
        <f t="shared" si="10"/>
        <v>941192340</v>
      </c>
      <c r="X19" s="12"/>
      <c r="Y19" s="21" t="str">
        <f>TEXT(ROUND(V12/$C$4/10*100, 2), "0.00") &amp; "%"</f>
        <v>1.93%</v>
      </c>
    </row>
    <row r="20" spans="1:25" ht="15.85" customHeight="1" thickTop="1" thickBot="1" x14ac:dyDescent="0.5">
      <c r="A20" s="4"/>
      <c r="B20" s="115" t="s">
        <v>1</v>
      </c>
      <c r="C20" s="115"/>
      <c r="D20" s="69" t="str">
        <f>TEXT(ROUND(L13/$C$4/5*100, 2), "0.00") &amp; "%"</f>
        <v>4.88%</v>
      </c>
      <c r="E20" s="70" t="str">
        <f>TEXT(ROUND(M13/$C$6/5*100, 2), "0.00") &amp; "%"</f>
        <v>26.25%</v>
      </c>
      <c r="F20" s="21">
        <f t="shared" ref="F20:F22" si="11">ROUND($L13/5, 2)</f>
        <v>0.49</v>
      </c>
      <c r="G20" s="71">
        <f t="shared" ref="G20:G21" si="12">ROUND($M13/5, 2)</f>
        <v>262458.11</v>
      </c>
      <c r="H20" s="21">
        <f t="shared" ref="H20:I22" si="13">F20*10</f>
        <v>4.9000000000000004</v>
      </c>
      <c r="I20" s="71">
        <f t="shared" si="13"/>
        <v>2624581.0999999996</v>
      </c>
      <c r="J20" s="21">
        <f t="shared" si="9"/>
        <v>49</v>
      </c>
      <c r="K20" s="71">
        <f t="shared" si="9"/>
        <v>26245810.999999996</v>
      </c>
      <c r="L20" s="21">
        <f t="shared" si="9"/>
        <v>490</v>
      </c>
      <c r="M20" s="71">
        <f t="shared" si="9"/>
        <v>262458109.99999997</v>
      </c>
      <c r="N20" s="69" t="str">
        <f>TEXT(ROUND((V13-L13)/$C$4/5*100, 2), "0.00") &amp; "%"</f>
        <v>0.92%</v>
      </c>
      <c r="O20" s="70" t="str">
        <f>TEXT(ROUND((W13-M13)/$C$6/5*100, 2), "0.00") &amp; "%"</f>
        <v>141.52%</v>
      </c>
      <c r="P20" s="21">
        <f>ROUND(($V13-$L13)/5, 2)</f>
        <v>0.09</v>
      </c>
      <c r="Q20" s="71">
        <f>ROUND(($W13-$M13)/5, 2)</f>
        <v>1415218.89</v>
      </c>
      <c r="R20" s="21">
        <f t="shared" ref="R20:S22" si="14">P20*10</f>
        <v>0.89999999999999991</v>
      </c>
      <c r="S20" s="71">
        <f t="shared" si="14"/>
        <v>14152188.899999999</v>
      </c>
      <c r="T20" s="21">
        <f t="shared" si="10"/>
        <v>9</v>
      </c>
      <c r="U20" s="71">
        <f t="shared" si="10"/>
        <v>141521889</v>
      </c>
      <c r="V20" s="21">
        <f t="shared" si="10"/>
        <v>90</v>
      </c>
      <c r="W20" s="71">
        <f t="shared" si="10"/>
        <v>1415218890</v>
      </c>
      <c r="X20" s="12"/>
      <c r="Y20" s="22" t="str">
        <f>TEXT(ROUND(W13/$C6/10*100, 2), "0.00") &amp; "%"</f>
        <v>83.88%</v>
      </c>
    </row>
    <row r="21" spans="1:25" ht="15.85" customHeight="1" thickTop="1" thickBot="1" x14ac:dyDescent="0.5">
      <c r="A21" s="4"/>
      <c r="B21" s="115" t="s">
        <v>2</v>
      </c>
      <c r="C21" s="115"/>
      <c r="D21" s="69" t="str">
        <f>TEXT(ROUND(L14/$C$4/5*100, 2), "0.00") &amp; "%"</f>
        <v>8.14%</v>
      </c>
      <c r="E21" s="70" t="str">
        <f>TEXT(ROUND(M14/$C$6/5*100, 2), "0.00") &amp; "%"</f>
        <v>43.78%</v>
      </c>
      <c r="F21" s="21">
        <f t="shared" si="11"/>
        <v>0.81</v>
      </c>
      <c r="G21" s="71">
        <f t="shared" si="12"/>
        <v>437788.74</v>
      </c>
      <c r="H21" s="21">
        <f t="shared" si="13"/>
        <v>8.1000000000000014</v>
      </c>
      <c r="I21" s="71">
        <f t="shared" si="13"/>
        <v>4377887.4000000004</v>
      </c>
      <c r="J21" s="21">
        <f t="shared" si="9"/>
        <v>81.000000000000014</v>
      </c>
      <c r="K21" s="71">
        <f t="shared" si="9"/>
        <v>43778874</v>
      </c>
      <c r="L21" s="21">
        <f t="shared" si="9"/>
        <v>810.00000000000011</v>
      </c>
      <c r="M21" s="71">
        <f t="shared" si="9"/>
        <v>437788740</v>
      </c>
      <c r="N21" s="69" t="str">
        <f>TEXT(ROUND((V14-L14)/$C$4/5*100, 2), "0.00") &amp; "%"</f>
        <v>1.52%</v>
      </c>
      <c r="O21" s="70" t="str">
        <f>TEXT(ROUND((W14-M14)/$C$6/5*100, 2), "0.00") &amp; "%"</f>
        <v>235.64%</v>
      </c>
      <c r="P21" s="21">
        <f>ROUND(($V14-$L14)/5, 2)</f>
        <v>0.15</v>
      </c>
      <c r="Q21" s="71">
        <f>ROUND(($W14-$M14)/5, 2)</f>
        <v>2356411.23</v>
      </c>
      <c r="R21" s="21">
        <f t="shared" si="14"/>
        <v>1.5</v>
      </c>
      <c r="S21" s="71">
        <f t="shared" si="14"/>
        <v>23564112.300000001</v>
      </c>
      <c r="T21" s="21">
        <f t="shared" si="10"/>
        <v>15</v>
      </c>
      <c r="U21" s="71">
        <f t="shared" si="10"/>
        <v>235641123</v>
      </c>
      <c r="V21" s="21">
        <f t="shared" si="10"/>
        <v>150</v>
      </c>
      <c r="W21" s="71">
        <f t="shared" si="10"/>
        <v>2356411230</v>
      </c>
      <c r="X21" s="12"/>
      <c r="Y21" s="21" t="str">
        <f>TEXT(ROUND(V14/$C$4/10*100, 2), "0.00") &amp; "%"</f>
        <v>4.83%</v>
      </c>
    </row>
    <row r="22" spans="1:25" ht="15.85" customHeight="1" thickTop="1" thickBot="1" x14ac:dyDescent="0.5">
      <c r="A22" s="4"/>
      <c r="B22" s="115" t="s">
        <v>0</v>
      </c>
      <c r="C22" s="115"/>
      <c r="D22" s="69" t="str">
        <f>TEXT(ROUND(L15/$C$4/5*100, 2), "0.00") &amp; "%"</f>
        <v>16.28%</v>
      </c>
      <c r="E22" s="70" t="str">
        <f>TEXT(ROUND(M15/$C$6/5*100, 2), "0.00") &amp; "%"</f>
        <v>87.56%</v>
      </c>
      <c r="F22" s="21">
        <f t="shared" si="11"/>
        <v>1.63</v>
      </c>
      <c r="G22" s="71">
        <f>ROUND($M15/5, 2)</f>
        <v>875577.47</v>
      </c>
      <c r="H22" s="21">
        <f t="shared" si="13"/>
        <v>16.299999999999997</v>
      </c>
      <c r="I22" s="71">
        <f t="shared" si="13"/>
        <v>8755774.6999999993</v>
      </c>
      <c r="J22" s="21">
        <f t="shared" si="9"/>
        <v>162.99999999999997</v>
      </c>
      <c r="K22" s="71">
        <f t="shared" si="9"/>
        <v>87557747</v>
      </c>
      <c r="L22" s="21">
        <f t="shared" si="9"/>
        <v>1629.9999999999998</v>
      </c>
      <c r="M22" s="71">
        <f t="shared" si="9"/>
        <v>875577470</v>
      </c>
      <c r="N22" s="69" t="str">
        <f>TEXT(ROUND((V15-L15)/$C$4/5*100, 2), "0.00") &amp; "%"</f>
        <v>3.02%</v>
      </c>
      <c r="O22" s="70" t="str">
        <f>TEXT(ROUND((W15-M15)/$C$6/5*100, 2), "0.00") &amp; "%"</f>
        <v>470.70%</v>
      </c>
      <c r="P22" s="21">
        <f>ROUND(($V15-$L15)/5, 2)</f>
        <v>0.3</v>
      </c>
      <c r="Q22" s="71">
        <f>ROUND(($W15-$M15)/5, 2)</f>
        <v>4707037.37</v>
      </c>
      <c r="R22" s="21">
        <f t="shared" si="14"/>
        <v>3</v>
      </c>
      <c r="S22" s="71">
        <f t="shared" si="14"/>
        <v>47070373.700000003</v>
      </c>
      <c r="T22" s="21">
        <f t="shared" si="10"/>
        <v>30</v>
      </c>
      <c r="U22" s="71">
        <f t="shared" si="10"/>
        <v>470703737</v>
      </c>
      <c r="V22" s="21">
        <f t="shared" si="10"/>
        <v>300</v>
      </c>
      <c r="W22" s="71">
        <f t="shared" si="10"/>
        <v>4707037370</v>
      </c>
      <c r="X22" s="2"/>
      <c r="Y22" s="20"/>
    </row>
    <row r="23" spans="1:25" ht="15.85" customHeight="1" thickTop="1" thickBot="1" x14ac:dyDescent="0.5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5" ht="15.75" customHeight="1" thickTop="1" thickBot="1" x14ac:dyDescent="0.5">
      <c r="A24" s="4"/>
      <c r="B24" s="6" t="s">
        <v>24</v>
      </c>
      <c r="C24" s="7">
        <f>$C$4*C26</f>
        <v>28925465.497600004</v>
      </c>
      <c r="D24" s="102" t="str">
        <f>"2035 - 2045 : "&amp;$C25*100&amp;"% " &amp; B25</f>
        <v>2035 - 2045 : 30% BTC 10Y CAGR</v>
      </c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2"/>
    </row>
    <row r="25" spans="1:25" ht="15.85" customHeight="1" thickTop="1" thickBot="1" x14ac:dyDescent="0.5">
      <c r="A25" s="4"/>
      <c r="B25" s="6" t="str">
        <f>$C$2 &amp; " 10Y CAGR"</f>
        <v>BTC 10Y CAGR</v>
      </c>
      <c r="C25" s="16">
        <v>0.3</v>
      </c>
      <c r="D25" s="103" t="s">
        <v>4</v>
      </c>
      <c r="E25" s="103"/>
      <c r="F25" s="103" t="s">
        <v>5</v>
      </c>
      <c r="G25" s="103"/>
      <c r="H25" s="103" t="s">
        <v>6</v>
      </c>
      <c r="I25" s="103"/>
      <c r="J25" s="103" t="s">
        <v>7</v>
      </c>
      <c r="K25" s="103"/>
      <c r="L25" s="103" t="s">
        <v>8</v>
      </c>
      <c r="M25" s="103"/>
      <c r="N25" s="103" t="s">
        <v>9</v>
      </c>
      <c r="O25" s="103"/>
      <c r="P25" s="103" t="s">
        <v>10</v>
      </c>
      <c r="Q25" s="103"/>
      <c r="R25" s="103" t="s">
        <v>11</v>
      </c>
      <c r="S25" s="103"/>
      <c r="T25" s="103" t="s">
        <v>12</v>
      </c>
      <c r="U25" s="103"/>
      <c r="V25" s="103" t="s">
        <v>13</v>
      </c>
      <c r="W25" s="103"/>
      <c r="X25" s="2"/>
    </row>
    <row r="26" spans="1:25" ht="15.85" customHeight="1" thickTop="1" thickBot="1" x14ac:dyDescent="0.5">
      <c r="A26" s="4"/>
      <c r="B26" s="6" t="str">
        <f>$C$2 &amp; " USD Value"</f>
        <v>BTC USD Value</v>
      </c>
      <c r="C26" s="7">
        <f>V8</f>
        <v>2892546.5497600003</v>
      </c>
      <c r="D26" s="104">
        <f>C26*C25+C26</f>
        <v>3760310.5146880005</v>
      </c>
      <c r="E26" s="104"/>
      <c r="F26" s="104">
        <f>D26*C25+D26</f>
        <v>4888403.6690944005</v>
      </c>
      <c r="G26" s="104"/>
      <c r="H26" s="104">
        <f>F26*$C25+F26</f>
        <v>6354924.7698227204</v>
      </c>
      <c r="I26" s="104"/>
      <c r="J26" s="104">
        <f>H26*$C25+H26</f>
        <v>8261402.2007695362</v>
      </c>
      <c r="K26" s="104"/>
      <c r="L26" s="104">
        <f>J26*$C25+J26</f>
        <v>10739822.861000396</v>
      </c>
      <c r="M26" s="104"/>
      <c r="N26" s="104">
        <f>L26*$C25+L26</f>
        <v>13961769.719300516</v>
      </c>
      <c r="O26" s="104"/>
      <c r="P26" s="104">
        <f>N26*$C25+N26</f>
        <v>18150300.635090671</v>
      </c>
      <c r="Q26" s="104"/>
      <c r="R26" s="104">
        <f>P26*$C25+P26</f>
        <v>23595390.825617872</v>
      </c>
      <c r="S26" s="104"/>
      <c r="T26" s="104">
        <f>R26*$C25+R26</f>
        <v>30674008.073303234</v>
      </c>
      <c r="U26" s="104"/>
      <c r="V26" s="104">
        <f>T26*$C25+T26</f>
        <v>39876210.495294206</v>
      </c>
      <c r="W26" s="104"/>
      <c r="X26" s="2"/>
    </row>
    <row r="27" spans="1:25" ht="15.85" customHeight="1" thickTop="1" thickBot="1" x14ac:dyDescent="0.5">
      <c r="A27" s="4"/>
      <c r="B27" s="6" t="str">
        <f>$C$2 &amp; " USD Marketcap"</f>
        <v>BTC USD Marketcap</v>
      </c>
      <c r="C27" s="18">
        <f>C26*21000000</f>
        <v>60743477544960.008</v>
      </c>
      <c r="D27" s="105">
        <f>D26*21000000</f>
        <v>78966520808448.016</v>
      </c>
      <c r="E27" s="105"/>
      <c r="F27" s="105">
        <f>F26*21000000</f>
        <v>102656477050982.41</v>
      </c>
      <c r="G27" s="105"/>
      <c r="H27" s="105">
        <f>H26*21000000</f>
        <v>133453420166277.13</v>
      </c>
      <c r="I27" s="105"/>
      <c r="J27" s="105">
        <f>J26*21000000</f>
        <v>173489446216160.25</v>
      </c>
      <c r="K27" s="105"/>
      <c r="L27" s="105">
        <f>L26*21000000</f>
        <v>225536280081008.31</v>
      </c>
      <c r="M27" s="105"/>
      <c r="N27" s="105">
        <f>N26*21000000</f>
        <v>293197164105310.81</v>
      </c>
      <c r="O27" s="105"/>
      <c r="P27" s="105">
        <f>P26*21000000</f>
        <v>381156313336904.13</v>
      </c>
      <c r="Q27" s="105"/>
      <c r="R27" s="105">
        <f>R26*21000000</f>
        <v>495503207337975.31</v>
      </c>
      <c r="S27" s="105"/>
      <c r="T27" s="105">
        <f>T26*21000000</f>
        <v>644154169539367.88</v>
      </c>
      <c r="U27" s="105"/>
      <c r="V27" s="105">
        <f>V26*21000000</f>
        <v>837400420401178.38</v>
      </c>
      <c r="W27" s="105"/>
      <c r="X27" s="2"/>
    </row>
    <row r="28" spans="1:25" ht="15.75" customHeight="1" thickTop="1" x14ac:dyDescent="0.45">
      <c r="A28" s="4"/>
      <c r="B28" s="108" t="s">
        <v>17</v>
      </c>
      <c r="C28" s="110" t="s">
        <v>22</v>
      </c>
      <c r="D28" s="106" t="s">
        <v>14</v>
      </c>
      <c r="E28" s="106" t="s">
        <v>15</v>
      </c>
      <c r="F28" s="106" t="s">
        <v>14</v>
      </c>
      <c r="G28" s="106" t="s">
        <v>15</v>
      </c>
      <c r="H28" s="106" t="s">
        <v>14</v>
      </c>
      <c r="I28" s="106" t="s">
        <v>15</v>
      </c>
      <c r="J28" s="106" t="s">
        <v>14</v>
      </c>
      <c r="K28" s="106" t="s">
        <v>15</v>
      </c>
      <c r="L28" s="106" t="s">
        <v>14</v>
      </c>
      <c r="M28" s="106" t="s">
        <v>15</v>
      </c>
      <c r="N28" s="106" t="s">
        <v>14</v>
      </c>
      <c r="O28" s="106" t="s">
        <v>15</v>
      </c>
      <c r="P28" s="106" t="s">
        <v>14</v>
      </c>
      <c r="Q28" s="106" t="s">
        <v>15</v>
      </c>
      <c r="R28" s="106" t="s">
        <v>14</v>
      </c>
      <c r="S28" s="106" t="s">
        <v>15</v>
      </c>
      <c r="T28" s="106" t="s">
        <v>14</v>
      </c>
      <c r="U28" s="106" t="s">
        <v>15</v>
      </c>
      <c r="V28" s="106" t="s">
        <v>14</v>
      </c>
      <c r="W28" s="106" t="s">
        <v>15</v>
      </c>
      <c r="X28" s="2"/>
    </row>
    <row r="29" spans="1:25" ht="15.75" customHeight="1" thickBot="1" x14ac:dyDescent="0.5">
      <c r="A29" s="4"/>
      <c r="B29" s="109"/>
      <c r="C29" s="111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2"/>
    </row>
    <row r="30" spans="1:25" ht="15.85" customHeight="1" thickTop="1" thickBot="1" x14ac:dyDescent="0.5">
      <c r="A30" s="4"/>
      <c r="B30" s="6" t="s">
        <v>56</v>
      </c>
      <c r="C30" s="19">
        <v>0.2</v>
      </c>
      <c r="D30" s="21" t="str">
        <f>TEXT(ROUND(((D$26-$C$26)*$C$4*$C30)/D$26, 2), "0.00")</f>
        <v>0.46</v>
      </c>
      <c r="E30" s="71">
        <f>ROUND(D30 * D$26, 2)</f>
        <v>1729742.84</v>
      </c>
      <c r="F30" s="21" t="str">
        <f>TEXT(ROUND(((F$26-$C$26)*$C$4*$C30)/F$26, 2), "0.00")</f>
        <v>0.82</v>
      </c>
      <c r="G30" s="71">
        <f t="shared" ref="G30" si="15">ROUND(F30 * F$26, 2)</f>
        <v>4008491.01</v>
      </c>
      <c r="H30" s="21" t="str">
        <f>TEXT(ROUND(((H$26-$C$26)*$C$4*$C30)/H$26, 2), "0.00")</f>
        <v>1.09</v>
      </c>
      <c r="I30" s="71">
        <f t="shared" ref="I30" si="16">ROUND(H30 * H$26, 2)</f>
        <v>6926868</v>
      </c>
      <c r="J30" s="21" t="str">
        <f>TEXT(ROUND(((J$26-$C$26)*$C$4*$C30)/J$26, 2), "0.00")</f>
        <v>1.30</v>
      </c>
      <c r="K30" s="71">
        <f t="shared" ref="K30" si="17">ROUND(J30 * J$26, 2)</f>
        <v>10739822.859999999</v>
      </c>
      <c r="L30" s="21" t="str">
        <f>TEXT(ROUND(((L$26-$C$26)*$C$4*$C30)/L$26, 2), "0.00")</f>
        <v>1.46</v>
      </c>
      <c r="M30" s="71">
        <f t="shared" ref="M30" si="18">ROUND(L30 * L$26, 2)</f>
        <v>15680141.380000001</v>
      </c>
      <c r="N30" s="21" t="str">
        <f>TEXT(ROUND(((N$26-$C$26)*$C$4*$C30)/N$26, 2), "0.00")</f>
        <v>1.59</v>
      </c>
      <c r="O30" s="71">
        <f t="shared" ref="O30" si="19">ROUND(N30 * N$26, 2)</f>
        <v>22199213.850000001</v>
      </c>
      <c r="P30" s="21" t="str">
        <f>TEXT(ROUND(((P$26-$C$26)*$C$4*$C30)/P$26, 2), "0.00")</f>
        <v>1.68</v>
      </c>
      <c r="Q30" s="71">
        <f t="shared" ref="Q30" si="20">ROUND(P30 * P$26, 2)</f>
        <v>30492505.07</v>
      </c>
      <c r="R30" s="21" t="str">
        <f>TEXT(ROUND(((R$26-$C$26)*$C$4*$C30)/R$26, 2), "0.00")</f>
        <v>1.75</v>
      </c>
      <c r="S30" s="71">
        <f t="shared" ref="S30" si="21">ROUND(R30 * R$26, 2)</f>
        <v>41291933.939999998</v>
      </c>
      <c r="T30" s="21" t="str">
        <f>TEXT(ROUND(((T$26-$C$26)*$C$4*$C30)/T$26, 2), "0.00")</f>
        <v>1.81</v>
      </c>
      <c r="U30" s="71">
        <f t="shared" ref="U30:W33" si="22">ROUND(T30 * T$26, 2)</f>
        <v>55519954.609999999</v>
      </c>
      <c r="V30" s="21" t="str">
        <f>TEXT(ROUND(((V$26-$C$26)*$C$4*$C30)/V$26, 2), "0.00")</f>
        <v>1.85</v>
      </c>
      <c r="W30" s="71">
        <f t="shared" ref="W30" si="23">ROUND(V30 * V$26, 2)</f>
        <v>73770989.420000002</v>
      </c>
      <c r="X30" s="2"/>
    </row>
    <row r="31" spans="1:25" ht="15.85" customHeight="1" thickTop="1" thickBot="1" x14ac:dyDescent="0.5">
      <c r="A31" s="4"/>
      <c r="B31" s="6" t="s">
        <v>1</v>
      </c>
      <c r="C31" s="19">
        <v>0.3</v>
      </c>
      <c r="D31" s="21" t="str">
        <f>TEXT(ROUND(((D$26-$C$26)*$C$4*$C31)/D$26, 2), "0.00")</f>
        <v>0.69</v>
      </c>
      <c r="E31" s="71">
        <f t="shared" ref="E31:S33" si="24">ROUND(D31 * D$26, 2)</f>
        <v>2594614.2599999998</v>
      </c>
      <c r="F31" s="21" t="str">
        <f>TEXT(ROUND(((F$26-$C$26)*$C$4*$C31)/F$26, 2), "0.00")</f>
        <v>1.22</v>
      </c>
      <c r="G31" s="71">
        <f t="shared" si="24"/>
        <v>5963852.4800000004</v>
      </c>
      <c r="H31" s="21" t="str">
        <f>TEXT(ROUND(((H$26-$C$26)*$C$4*$C31)/H$26, 2), "0.00")</f>
        <v>1.63</v>
      </c>
      <c r="I31" s="71">
        <f t="shared" si="24"/>
        <v>10358527.369999999</v>
      </c>
      <c r="J31" s="21" t="str">
        <f>TEXT(ROUND(((J$26-$C$26)*$C$4*$C31)/J$26, 2), "0.00")</f>
        <v>1.95</v>
      </c>
      <c r="K31" s="71">
        <f t="shared" si="24"/>
        <v>16109734.289999999</v>
      </c>
      <c r="L31" s="21" t="str">
        <f>TEXT(ROUND(((L$26-$C$26)*$C$4*$C31)/L$26, 2), "0.00")</f>
        <v>2.19</v>
      </c>
      <c r="M31" s="71">
        <f t="shared" si="24"/>
        <v>23520212.07</v>
      </c>
      <c r="N31" s="21" t="str">
        <f>TEXT(ROUND(((N$26-$C$26)*$C$4*$C31)/N$26, 2), "0.00")</f>
        <v>2.38</v>
      </c>
      <c r="O31" s="71">
        <f t="shared" si="24"/>
        <v>33229011.93</v>
      </c>
      <c r="P31" s="21" t="str">
        <f>TEXT(ROUND(((P$26-$C$26)*$C$4*$C31)/P$26, 2), "0.00")</f>
        <v>2.52</v>
      </c>
      <c r="Q31" s="71">
        <f t="shared" si="24"/>
        <v>45738757.600000001</v>
      </c>
      <c r="R31" s="21" t="str">
        <f>TEXT(ROUND(((R$26-$C$26)*$C$4*$C31)/R$26, 2), "0.00")</f>
        <v>2.63</v>
      </c>
      <c r="S31" s="71">
        <f t="shared" si="24"/>
        <v>62055877.869999997</v>
      </c>
      <c r="T31" s="21" t="str">
        <f>TEXT(ROUND(((T$26-$C$26)*$C$4*$C31)/T$26, 2), "0.00")</f>
        <v>2.72</v>
      </c>
      <c r="U31" s="71">
        <f t="shared" si="22"/>
        <v>83433301.959999993</v>
      </c>
      <c r="V31" s="21" t="str">
        <f>TEXT(ROUND(((V$26-$C$26)*$C$4*$C31)/V$26, 2), "0.00")</f>
        <v>2.78</v>
      </c>
      <c r="W31" s="71">
        <f t="shared" si="22"/>
        <v>110855865.18000001</v>
      </c>
      <c r="X31" s="2"/>
    </row>
    <row r="32" spans="1:25" ht="15.85" customHeight="1" thickTop="1" thickBot="1" x14ac:dyDescent="0.5">
      <c r="A32" s="4"/>
      <c r="B32" s="6" t="s">
        <v>2</v>
      </c>
      <c r="C32" s="19">
        <v>0.5</v>
      </c>
      <c r="D32" s="21" t="str">
        <f>TEXT(ROUND(((D$26-$C$26)*$C$4*$C32)/D$26, 2), "0.00")</f>
        <v>1.15</v>
      </c>
      <c r="E32" s="71">
        <f t="shared" si="24"/>
        <v>4324357.09</v>
      </c>
      <c r="F32" s="21" t="str">
        <f>TEXT(ROUND(((F$26-$C$26)*$C$4*$C32)/F$26, 2), "0.00")</f>
        <v>2.04</v>
      </c>
      <c r="G32" s="71">
        <f t="shared" si="24"/>
        <v>9972343.4800000004</v>
      </c>
      <c r="H32" s="21" t="str">
        <f>TEXT(ROUND(((H$26-$C$26)*$C$4*$C32)/H$26, 2), "0.00")</f>
        <v>2.72</v>
      </c>
      <c r="I32" s="71">
        <f t="shared" si="24"/>
        <v>17285395.370000001</v>
      </c>
      <c r="J32" s="21" t="str">
        <f>TEXT(ROUND(((J$26-$C$26)*$C$4*$C32)/J$26, 2), "0.00")</f>
        <v>3.25</v>
      </c>
      <c r="K32" s="71">
        <f t="shared" si="24"/>
        <v>26849557.149999999</v>
      </c>
      <c r="L32" s="21" t="str">
        <f>TEXT(ROUND(((L$26-$C$26)*$C$4*$C32)/L$26, 2), "0.00")</f>
        <v>3.65</v>
      </c>
      <c r="M32" s="71">
        <f t="shared" si="24"/>
        <v>39200353.439999998</v>
      </c>
      <c r="N32" s="21" t="str">
        <f>TEXT(ROUND(((N$26-$C$26)*$C$4*$C32)/N$26, 2), "0.00")</f>
        <v>3.96</v>
      </c>
      <c r="O32" s="71">
        <f t="shared" si="24"/>
        <v>55288608.090000004</v>
      </c>
      <c r="P32" s="21" t="str">
        <f>TEXT(ROUND(((P$26-$C$26)*$C$4*$C32)/P$26, 2), "0.00")</f>
        <v>4.20</v>
      </c>
      <c r="Q32" s="71">
        <f t="shared" si="24"/>
        <v>76231262.670000002</v>
      </c>
      <c r="R32" s="21" t="str">
        <f>TEXT(ROUND(((R$26-$C$26)*$C$4*$C32)/R$26, 2), "0.00")</f>
        <v>4.39</v>
      </c>
      <c r="S32" s="71">
        <f t="shared" si="24"/>
        <v>103583765.72</v>
      </c>
      <c r="T32" s="21" t="str">
        <f>TEXT(ROUND(((T$26-$C$26)*$C$4*$C32)/T$26, 2), "0.00")</f>
        <v>4.53</v>
      </c>
      <c r="U32" s="71">
        <f t="shared" si="22"/>
        <v>138953256.56999999</v>
      </c>
      <c r="V32" s="21" t="str">
        <f>TEXT(ROUND(((V$26-$C$26)*$C$4*$C32)/V$26, 2), "0.00")</f>
        <v>4.64</v>
      </c>
      <c r="W32" s="71">
        <f t="shared" si="22"/>
        <v>185025616.69999999</v>
      </c>
      <c r="X32" s="2"/>
    </row>
    <row r="33" spans="1:25" ht="15.85" customHeight="1" thickTop="1" thickBot="1" x14ac:dyDescent="0.5">
      <c r="A33" s="4"/>
      <c r="B33" s="6" t="s">
        <v>0</v>
      </c>
      <c r="C33" s="19">
        <f>SUM(C30:C32)</f>
        <v>1</v>
      </c>
      <c r="D33" s="21" t="str">
        <f>TEXT(ROUND(((D$26-$C$26)*$C$4*$C33)/D$26, 2), "0.00")</f>
        <v>2.31</v>
      </c>
      <c r="E33" s="71">
        <f t="shared" si="24"/>
        <v>8686317.2899999991</v>
      </c>
      <c r="F33" s="21" t="str">
        <f>TEXT(ROUND(((F$26-$C$26)*$C$4*$C33)/F$26, 2), "0.00")</f>
        <v>4.08</v>
      </c>
      <c r="G33" s="71">
        <f t="shared" si="24"/>
        <v>19944686.969999999</v>
      </c>
      <c r="H33" s="21" t="str">
        <f>TEXT(ROUND(((H$26-$C$26)*$C$4*$C33)/H$26, 2), "0.00")</f>
        <v>5.45</v>
      </c>
      <c r="I33" s="71">
        <f t="shared" si="24"/>
        <v>34634340</v>
      </c>
      <c r="J33" s="21" t="str">
        <f>TEXT(ROUND(((J$26-$C$26)*$C$4*$C33)/J$26, 2), "0.00")</f>
        <v>6.50</v>
      </c>
      <c r="K33" s="71">
        <f t="shared" si="24"/>
        <v>53699114.310000002</v>
      </c>
      <c r="L33" s="21" t="str">
        <f>TEXT(ROUND(((L$26-$C$26)*$C$4*$C33)/L$26, 2), "0.00")</f>
        <v>7.31</v>
      </c>
      <c r="M33" s="71">
        <f t="shared" si="24"/>
        <v>78508105.109999999</v>
      </c>
      <c r="N33" s="21" t="str">
        <f>TEXT(ROUND(((N$26-$C$26)*$C$4*$C33)/N$26, 2), "0.00")</f>
        <v>7.93</v>
      </c>
      <c r="O33" s="71">
        <f t="shared" si="24"/>
        <v>110716833.87</v>
      </c>
      <c r="P33" s="21" t="str">
        <f>TEXT(ROUND(((P$26-$C$26)*$C$4*$C33)/P$26, 2), "0.00")</f>
        <v>8.41</v>
      </c>
      <c r="Q33" s="71">
        <f t="shared" si="24"/>
        <v>152644028.34</v>
      </c>
      <c r="R33" s="21" t="str">
        <f>TEXT(ROUND(((R$26-$C$26)*$C$4*$C33)/R$26, 2), "0.00")</f>
        <v>8.77</v>
      </c>
      <c r="S33" s="71">
        <f t="shared" si="24"/>
        <v>206931577.53999999</v>
      </c>
      <c r="T33" s="21" t="str">
        <f>TEXT(ROUND(((T$26-$C$26)*$C$4*$C33)/T$26, 2), "0.00")</f>
        <v>9.06</v>
      </c>
      <c r="U33" s="71">
        <f t="shared" si="22"/>
        <v>277906513.13999999</v>
      </c>
      <c r="V33" s="21" t="str">
        <f>TEXT(ROUND(((V$26-$C$26)*$C$4*$C33)/V$26, 2), "0.00")</f>
        <v>9.27</v>
      </c>
      <c r="W33" s="71">
        <f t="shared" si="22"/>
        <v>369652471.29000002</v>
      </c>
      <c r="X33" s="2"/>
    </row>
    <row r="34" spans="1:25" ht="15.75" customHeight="1" thickTop="1" thickBot="1" x14ac:dyDescent="0.5">
      <c r="A34" s="4"/>
      <c r="B34" s="113" t="s">
        <v>40</v>
      </c>
      <c r="C34" s="113"/>
      <c r="D34" s="114" t="s">
        <v>23</v>
      </c>
      <c r="E34" s="114"/>
      <c r="F34" s="114"/>
      <c r="G34" s="114"/>
      <c r="H34" s="114"/>
      <c r="I34" s="114"/>
      <c r="J34" s="114"/>
      <c r="K34" s="114"/>
      <c r="L34" s="114"/>
      <c r="M34" s="114"/>
      <c r="N34" s="114" t="s">
        <v>43</v>
      </c>
      <c r="O34" s="114"/>
      <c r="P34" s="114"/>
      <c r="Q34" s="114"/>
      <c r="R34" s="114"/>
      <c r="S34" s="114"/>
      <c r="T34" s="114"/>
      <c r="U34" s="114"/>
      <c r="V34" s="114"/>
      <c r="W34" s="114"/>
      <c r="X34" s="2"/>
      <c r="Y34" s="8" t="s">
        <v>28</v>
      </c>
    </row>
    <row r="35" spans="1:25" ht="15.85" customHeight="1" thickTop="1" thickBot="1" x14ac:dyDescent="0.5">
      <c r="A35" s="4"/>
      <c r="B35" s="113"/>
      <c r="C35" s="113"/>
      <c r="D35" s="103" t="s">
        <v>26</v>
      </c>
      <c r="E35" s="103"/>
      <c r="F35" s="103" t="s">
        <v>18</v>
      </c>
      <c r="G35" s="103"/>
      <c r="H35" s="103" t="s">
        <v>19</v>
      </c>
      <c r="I35" s="103"/>
      <c r="J35" s="103" t="s">
        <v>20</v>
      </c>
      <c r="K35" s="103"/>
      <c r="L35" s="103" t="s">
        <v>21</v>
      </c>
      <c r="M35" s="103"/>
      <c r="N35" s="103" t="s">
        <v>26</v>
      </c>
      <c r="O35" s="103"/>
      <c r="P35" s="103" t="s">
        <v>18</v>
      </c>
      <c r="Q35" s="103"/>
      <c r="R35" s="103" t="s">
        <v>19</v>
      </c>
      <c r="S35" s="103"/>
      <c r="T35" s="103" t="s">
        <v>20</v>
      </c>
      <c r="U35" s="103"/>
      <c r="V35" s="103" t="s">
        <v>21</v>
      </c>
      <c r="W35" s="103"/>
      <c r="X35" s="2"/>
      <c r="Y35" s="112" t="s">
        <v>41</v>
      </c>
    </row>
    <row r="36" spans="1:25" ht="15.85" customHeight="1" thickTop="1" thickBot="1" x14ac:dyDescent="0.5">
      <c r="A36" s="4"/>
      <c r="B36" s="113"/>
      <c r="C36" s="113"/>
      <c r="D36" s="5" t="s">
        <v>14</v>
      </c>
      <c r="E36" s="5" t="s">
        <v>15</v>
      </c>
      <c r="F36" s="5" t="s">
        <v>14</v>
      </c>
      <c r="G36" s="5" t="s">
        <v>15</v>
      </c>
      <c r="H36" s="5" t="s">
        <v>14</v>
      </c>
      <c r="I36" s="5" t="s">
        <v>15</v>
      </c>
      <c r="J36" s="5" t="s">
        <v>14</v>
      </c>
      <c r="K36" s="5" t="s">
        <v>15</v>
      </c>
      <c r="L36" s="5" t="s">
        <v>14</v>
      </c>
      <c r="M36" s="5" t="s">
        <v>15</v>
      </c>
      <c r="N36" s="5" t="s">
        <v>14</v>
      </c>
      <c r="O36" s="5" t="s">
        <v>15</v>
      </c>
      <c r="P36" s="5" t="s">
        <v>14</v>
      </c>
      <c r="Q36" s="5" t="s">
        <v>15</v>
      </c>
      <c r="R36" s="5" t="s">
        <v>14</v>
      </c>
      <c r="S36" s="5" t="s">
        <v>15</v>
      </c>
      <c r="T36" s="5" t="s">
        <v>14</v>
      </c>
      <c r="U36" s="5" t="s">
        <v>15</v>
      </c>
      <c r="V36" s="5" t="s">
        <v>14</v>
      </c>
      <c r="W36" s="5" t="s">
        <v>15</v>
      </c>
      <c r="X36" s="2"/>
      <c r="Y36" s="112"/>
    </row>
    <row r="37" spans="1:25" ht="15.85" customHeight="1" thickTop="1" thickBot="1" x14ac:dyDescent="0.5">
      <c r="A37" s="4"/>
      <c r="B37" s="115" t="s">
        <v>56</v>
      </c>
      <c r="C37" s="115"/>
      <c r="D37" s="69" t="str">
        <f>TEXT(ROUND(L30/$C$4/5*100, 2), "0.00") &amp; "%"</f>
        <v>2.92%</v>
      </c>
      <c r="E37" s="70" t="str">
        <f>TEXT(ROUND(M30/$C$24/5*100, 2), "0.00") &amp; "%"</f>
        <v>10.84%</v>
      </c>
      <c r="F37" s="21">
        <f>ROUND($L30/5, 2)</f>
        <v>0.28999999999999998</v>
      </c>
      <c r="G37" s="71">
        <f>$M30/5</f>
        <v>3136028.2760000001</v>
      </c>
      <c r="H37" s="21">
        <f>F37*10</f>
        <v>2.9</v>
      </c>
      <c r="I37" s="71">
        <f>G37*10</f>
        <v>31360282.760000002</v>
      </c>
      <c r="J37" s="21">
        <f t="shared" ref="J37:M40" si="25">H37*10</f>
        <v>29</v>
      </c>
      <c r="K37" s="71">
        <f t="shared" si="25"/>
        <v>313602827.60000002</v>
      </c>
      <c r="L37" s="21">
        <f t="shared" si="25"/>
        <v>290</v>
      </c>
      <c r="M37" s="71">
        <f t="shared" si="25"/>
        <v>3136028276</v>
      </c>
      <c r="N37" s="69" t="str">
        <f>TEXT(ROUND((V30-L30)/$C$4/5*100, 2), "0.00") &amp; "%"</f>
        <v>0.78%</v>
      </c>
      <c r="O37" s="70" t="str">
        <f>TEXT(ROUND((W30-M30)/$C$24/5*100, 2), "0.00") &amp; "%"</f>
        <v>40.17%</v>
      </c>
      <c r="P37" s="21">
        <f>ROUND(($V30-$L30)/5, 2)</f>
        <v>0.08</v>
      </c>
      <c r="Q37" s="71">
        <f>ROUND(($W30-$M30)/5, 2)</f>
        <v>11618169.609999999</v>
      </c>
      <c r="R37" s="21">
        <f>P37*10</f>
        <v>0.8</v>
      </c>
      <c r="S37" s="71">
        <f>Q37*10</f>
        <v>116181696.09999999</v>
      </c>
      <c r="T37" s="21">
        <f t="shared" ref="T37:W40" si="26">R37*10</f>
        <v>8</v>
      </c>
      <c r="U37" s="71">
        <f t="shared" si="26"/>
        <v>1161816961</v>
      </c>
      <c r="V37" s="21">
        <f t="shared" si="26"/>
        <v>80</v>
      </c>
      <c r="W37" s="71">
        <f t="shared" si="26"/>
        <v>11618169610</v>
      </c>
      <c r="X37" s="2"/>
      <c r="Y37" s="21" t="str">
        <f>TEXT(ROUND(V30/$C$4/10*100, 2), "0.00") &amp; "%"</f>
        <v>1.85%</v>
      </c>
    </row>
    <row r="38" spans="1:25" ht="15.85" customHeight="1" thickTop="1" thickBot="1" x14ac:dyDescent="0.5">
      <c r="A38" s="4"/>
      <c r="B38" s="115" t="s">
        <v>1</v>
      </c>
      <c r="C38" s="115"/>
      <c r="D38" s="69" t="str">
        <f>TEXT(ROUND(L31/$C$4/5*100, 2), "0.00") &amp; "%"</f>
        <v>4.38%</v>
      </c>
      <c r="E38" s="70" t="str">
        <f t="shared" ref="E38:E40" si="27">TEXT(ROUND(M31/$C$24/5*100, 2), "0.00") &amp; "%"</f>
        <v>16.26%</v>
      </c>
      <c r="F38" s="21">
        <f>ROUND($L31/5, 2)</f>
        <v>0.44</v>
      </c>
      <c r="G38" s="71">
        <f t="shared" ref="G38:G39" si="28">ROUND($M31/5, 2)</f>
        <v>4704042.41</v>
      </c>
      <c r="H38" s="21">
        <f t="shared" ref="H38:I40" si="29">F38*10</f>
        <v>4.4000000000000004</v>
      </c>
      <c r="I38" s="71">
        <f t="shared" si="29"/>
        <v>47040424.100000001</v>
      </c>
      <c r="J38" s="21">
        <f t="shared" si="25"/>
        <v>44</v>
      </c>
      <c r="K38" s="71">
        <f t="shared" si="25"/>
        <v>470404241</v>
      </c>
      <c r="L38" s="21">
        <f t="shared" si="25"/>
        <v>440</v>
      </c>
      <c r="M38" s="71">
        <f t="shared" si="25"/>
        <v>4704042410</v>
      </c>
      <c r="N38" s="69" t="str">
        <f>TEXT(ROUND((V31-L31)/$C$4/5*100, 2), "0.00") &amp; "%"</f>
        <v>1.18%</v>
      </c>
      <c r="O38" s="70" t="str">
        <f t="shared" ref="O38:O40" si="30">TEXT(ROUND((W31-M31)/$C$24/5*100, 2), "0.00") &amp; "%"</f>
        <v>60.39%</v>
      </c>
      <c r="P38" s="21">
        <f>ROUND(($V31-$L31)/5, 2)</f>
        <v>0.12</v>
      </c>
      <c r="Q38" s="71">
        <f>ROUND(($W31-$M31)/5, 2)</f>
        <v>17467130.620000001</v>
      </c>
      <c r="R38" s="21">
        <f t="shared" ref="R38:S40" si="31">P38*10</f>
        <v>1.2</v>
      </c>
      <c r="S38" s="71">
        <f t="shared" si="31"/>
        <v>174671306.20000002</v>
      </c>
      <c r="T38" s="21">
        <f t="shared" si="26"/>
        <v>12</v>
      </c>
      <c r="U38" s="71">
        <f t="shared" si="26"/>
        <v>1746713062.0000002</v>
      </c>
      <c r="V38" s="21">
        <f t="shared" si="26"/>
        <v>120</v>
      </c>
      <c r="W38" s="71">
        <f t="shared" si="26"/>
        <v>17467130620.000004</v>
      </c>
      <c r="X38" s="2"/>
      <c r="Y38" s="22" t="str">
        <f>TEXT(ROUND(W31/$C24/10*100, 2), "0.00") &amp; "%"</f>
        <v>38.32%</v>
      </c>
    </row>
    <row r="39" spans="1:25" ht="15.85" customHeight="1" thickTop="1" thickBot="1" x14ac:dyDescent="0.5">
      <c r="B39" s="115" t="s">
        <v>2</v>
      </c>
      <c r="C39" s="115"/>
      <c r="D39" s="69" t="str">
        <f>TEXT(ROUND(L32/$C$4/5*100, 2), "0.00") &amp; "%"</f>
        <v>7.30%</v>
      </c>
      <c r="E39" s="70" t="str">
        <f t="shared" si="27"/>
        <v>27.10%</v>
      </c>
      <c r="F39" s="21">
        <f>ROUND($L32/5, 2)</f>
        <v>0.73</v>
      </c>
      <c r="G39" s="71">
        <f t="shared" si="28"/>
        <v>7840070.6900000004</v>
      </c>
      <c r="H39" s="21">
        <f t="shared" si="29"/>
        <v>7.3</v>
      </c>
      <c r="I39" s="71">
        <f t="shared" si="29"/>
        <v>78400706.900000006</v>
      </c>
      <c r="J39" s="21">
        <f t="shared" si="25"/>
        <v>73</v>
      </c>
      <c r="K39" s="71">
        <f t="shared" si="25"/>
        <v>784007069</v>
      </c>
      <c r="L39" s="21">
        <f t="shared" si="25"/>
        <v>730</v>
      </c>
      <c r="M39" s="71">
        <f t="shared" si="25"/>
        <v>7840070690</v>
      </c>
      <c r="N39" s="69" t="str">
        <f>TEXT(ROUND((V32-L32)/$C$4/5*100, 2), "0.00") &amp; "%"</f>
        <v>1.98%</v>
      </c>
      <c r="O39" s="70" t="str">
        <f t="shared" si="30"/>
        <v>100.83%</v>
      </c>
      <c r="P39" s="21">
        <f>ROUND(($V32-$L32)/5, 2)</f>
        <v>0.2</v>
      </c>
      <c r="Q39" s="71">
        <f>ROUND(($W32-$M32)/5, 2)</f>
        <v>29165052.649999999</v>
      </c>
      <c r="R39" s="21">
        <f t="shared" si="31"/>
        <v>2</v>
      </c>
      <c r="S39" s="71">
        <f t="shared" si="31"/>
        <v>291650526.5</v>
      </c>
      <c r="T39" s="21">
        <f t="shared" si="26"/>
        <v>20</v>
      </c>
      <c r="U39" s="71">
        <f t="shared" si="26"/>
        <v>2916505265</v>
      </c>
      <c r="V39" s="21">
        <f t="shared" si="26"/>
        <v>200</v>
      </c>
      <c r="W39" s="71">
        <f t="shared" si="26"/>
        <v>29165052650</v>
      </c>
      <c r="Y39" s="21" t="str">
        <f>TEXT(ROUND(V32/$C$4/10*100, 2), "0.00") &amp; "%"</f>
        <v>4.64%</v>
      </c>
    </row>
    <row r="40" spans="1:25" s="3" customFormat="1" ht="15.85" customHeight="1" thickTop="1" thickBot="1" x14ac:dyDescent="0.5">
      <c r="A40" s="1"/>
      <c r="B40" s="115" t="s">
        <v>0</v>
      </c>
      <c r="C40" s="115"/>
      <c r="D40" s="69" t="str">
        <f>TEXT(ROUND(L33/$C$4/5*100, 2), "0.00") &amp; "%"</f>
        <v>14.62%</v>
      </c>
      <c r="E40" s="70" t="str">
        <f t="shared" si="27"/>
        <v>54.28%</v>
      </c>
      <c r="F40" s="21">
        <f>ROUND($L33/5, 2)</f>
        <v>1.46</v>
      </c>
      <c r="G40" s="71">
        <f>ROUND($M33/5, 2)</f>
        <v>15701621.02</v>
      </c>
      <c r="H40" s="21">
        <f t="shared" si="29"/>
        <v>14.6</v>
      </c>
      <c r="I40" s="71">
        <f t="shared" si="29"/>
        <v>157016210.19999999</v>
      </c>
      <c r="J40" s="21">
        <f t="shared" si="25"/>
        <v>146</v>
      </c>
      <c r="K40" s="71">
        <f t="shared" si="25"/>
        <v>1570162102</v>
      </c>
      <c r="L40" s="21">
        <f t="shared" si="25"/>
        <v>1460</v>
      </c>
      <c r="M40" s="71">
        <f t="shared" si="25"/>
        <v>15701621020</v>
      </c>
      <c r="N40" s="69" t="str">
        <f>TEXT(ROUND((V33-L33)/$C$4/5*100, 2), "0.00") &amp; "%"</f>
        <v>3.92%</v>
      </c>
      <c r="O40" s="70" t="str">
        <f t="shared" si="30"/>
        <v>201.31%</v>
      </c>
      <c r="P40" s="21">
        <f>ROUND(($V33-$L33)/5, 2)</f>
        <v>0.39</v>
      </c>
      <c r="Q40" s="71">
        <f>ROUND(($W33-$M33)/5, 2)</f>
        <v>58228873.240000002</v>
      </c>
      <c r="R40" s="21">
        <f t="shared" si="31"/>
        <v>3.9000000000000004</v>
      </c>
      <c r="S40" s="71">
        <f t="shared" si="31"/>
        <v>582288732.39999998</v>
      </c>
      <c r="T40" s="21">
        <f t="shared" si="26"/>
        <v>39</v>
      </c>
      <c r="U40" s="71">
        <f t="shared" si="26"/>
        <v>5822887324</v>
      </c>
      <c r="V40" s="21">
        <f t="shared" si="26"/>
        <v>390</v>
      </c>
      <c r="W40" s="71">
        <f t="shared" si="26"/>
        <v>58228873240</v>
      </c>
      <c r="X40" s="1"/>
    </row>
    <row r="41" spans="1:25" ht="15.85" customHeight="1" thickTop="1" x14ac:dyDescent="0.45"/>
  </sheetData>
  <mergeCells count="143">
    <mergeCell ref="B40:C40"/>
    <mergeCell ref="T35:U35"/>
    <mergeCell ref="V35:W35"/>
    <mergeCell ref="Y35:Y36"/>
    <mergeCell ref="B37:C37"/>
    <mergeCell ref="B38:C38"/>
    <mergeCell ref="B39:C39"/>
    <mergeCell ref="H35:I35"/>
    <mergeCell ref="J35:K35"/>
    <mergeCell ref="L35:M35"/>
    <mergeCell ref="N35:O35"/>
    <mergeCell ref="P35:Q35"/>
    <mergeCell ref="R35:S35"/>
    <mergeCell ref="B34:C36"/>
    <mergeCell ref="D34:M34"/>
    <mergeCell ref="N34:W34"/>
    <mergeCell ref="D35:E35"/>
    <mergeCell ref="F35:G35"/>
    <mergeCell ref="B28:B29"/>
    <mergeCell ref="C28:C29"/>
    <mergeCell ref="D28:D29"/>
    <mergeCell ref="E28:E29"/>
    <mergeCell ref="F28:F29"/>
    <mergeCell ref="S28:S29"/>
    <mergeCell ref="T28:T29"/>
    <mergeCell ref="U28:U29"/>
    <mergeCell ref="V28:V29"/>
    <mergeCell ref="M28:M29"/>
    <mergeCell ref="N28:N29"/>
    <mergeCell ref="O28:O29"/>
    <mergeCell ref="P28:P29"/>
    <mergeCell ref="Q28:Q29"/>
    <mergeCell ref="R28:R29"/>
    <mergeCell ref="G28:G29"/>
    <mergeCell ref="H28:H29"/>
    <mergeCell ref="I28:I29"/>
    <mergeCell ref="J28:J29"/>
    <mergeCell ref="K28:K29"/>
    <mergeCell ref="L28:L29"/>
    <mergeCell ref="R27:S27"/>
    <mergeCell ref="T27:U27"/>
    <mergeCell ref="V27:W27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W28:W29"/>
    <mergeCell ref="B19:C19"/>
    <mergeCell ref="B20:C20"/>
    <mergeCell ref="B21:C21"/>
    <mergeCell ref="B22:C22"/>
    <mergeCell ref="D24:W24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V26:W26"/>
    <mergeCell ref="D27:E27"/>
    <mergeCell ref="F27:G27"/>
    <mergeCell ref="H27:I27"/>
    <mergeCell ref="J27:K27"/>
    <mergeCell ref="L27:M27"/>
    <mergeCell ref="N27:O27"/>
    <mergeCell ref="P27:Q27"/>
    <mergeCell ref="N17:O17"/>
    <mergeCell ref="P17:Q17"/>
    <mergeCell ref="R17:S17"/>
    <mergeCell ref="T17:U17"/>
    <mergeCell ref="V17:W17"/>
    <mergeCell ref="Y17:Y18"/>
    <mergeCell ref="V10:V11"/>
    <mergeCell ref="W10:W11"/>
    <mergeCell ref="B16:C18"/>
    <mergeCell ref="D16:M16"/>
    <mergeCell ref="N16:W16"/>
    <mergeCell ref="D17:E17"/>
    <mergeCell ref="F17:G17"/>
    <mergeCell ref="H17:I17"/>
    <mergeCell ref="J17:K17"/>
    <mergeCell ref="L17:M17"/>
    <mergeCell ref="P10:P11"/>
    <mergeCell ref="Q10:Q11"/>
    <mergeCell ref="R10:R11"/>
    <mergeCell ref="S10:S11"/>
    <mergeCell ref="T10:T11"/>
    <mergeCell ref="U10:U11"/>
    <mergeCell ref="J10:J11"/>
    <mergeCell ref="K10:K11"/>
    <mergeCell ref="L10:L11"/>
    <mergeCell ref="M10:M11"/>
    <mergeCell ref="N10:N11"/>
    <mergeCell ref="O10:O11"/>
    <mergeCell ref="T9:U9"/>
    <mergeCell ref="V9:W9"/>
    <mergeCell ref="B10:B11"/>
    <mergeCell ref="C10:C11"/>
    <mergeCell ref="D10:D11"/>
    <mergeCell ref="E10:E11"/>
    <mergeCell ref="F10:F11"/>
    <mergeCell ref="G10:G11"/>
    <mergeCell ref="H10:H11"/>
    <mergeCell ref="I10:I11"/>
    <mergeCell ref="V8:W8"/>
    <mergeCell ref="D9:E9"/>
    <mergeCell ref="F9:G9"/>
    <mergeCell ref="H9:I9"/>
    <mergeCell ref="J9:K9"/>
    <mergeCell ref="L9:M9"/>
    <mergeCell ref="N9:O9"/>
    <mergeCell ref="P9:Q9"/>
    <mergeCell ref="R9:S9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D2:W4"/>
    <mergeCell ref="D6:W6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4ECC-80F2-497D-B4E5-4BE546EBA452}">
  <dimension ref="A1:P46"/>
  <sheetViews>
    <sheetView zoomScaleNormal="100" workbookViewId="0">
      <selection activeCell="B2" sqref="B2:M4"/>
    </sheetView>
  </sheetViews>
  <sheetFormatPr defaultRowHeight="15.85" customHeight="1" x14ac:dyDescent="0.45"/>
  <cols>
    <col min="1" max="1" width="1.6640625" style="1" customWidth="1"/>
    <col min="2" max="2" width="38.46484375" style="1" customWidth="1"/>
    <col min="3" max="3" width="12.1328125" style="25" customWidth="1"/>
    <col min="4" max="13" width="15.33203125" style="1" customWidth="1"/>
    <col min="14" max="14" width="1.6640625" style="1" customWidth="1"/>
    <col min="15" max="15" width="29.33203125" style="1" customWidth="1"/>
    <col min="16" max="16" width="1.53125" style="1" customWidth="1"/>
    <col min="17" max="16384" width="9.06640625" style="1"/>
  </cols>
  <sheetData>
    <row r="1" spans="1:16" ht="9.4" customHeight="1" thickBot="1" x14ac:dyDescent="0.5">
      <c r="B1" s="9"/>
      <c r="C1" s="24"/>
      <c r="D1" s="10"/>
      <c r="E1" s="10"/>
      <c r="F1" s="10"/>
      <c r="G1" s="10"/>
      <c r="H1" s="10"/>
      <c r="I1" s="10"/>
      <c r="J1" s="10"/>
      <c r="K1" s="10"/>
      <c r="L1" s="10"/>
      <c r="M1" s="9"/>
    </row>
    <row r="2" spans="1:16" ht="15.85" customHeight="1" thickTop="1" thickBot="1" x14ac:dyDescent="0.5">
      <c r="A2" s="4"/>
      <c r="B2" s="101" t="s">
        <v>55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2"/>
      <c r="O2" s="13">
        <v>45894</v>
      </c>
    </row>
    <row r="3" spans="1:16" ht="15.85" customHeight="1" thickTop="1" thickBot="1" x14ac:dyDescent="0.5">
      <c r="A3" s="4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2"/>
      <c r="O3" s="15" t="s">
        <v>25</v>
      </c>
    </row>
    <row r="4" spans="1:16" ht="15.85" customHeight="1" thickTop="1" thickBot="1" x14ac:dyDescent="0.5">
      <c r="A4" s="4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2"/>
      <c r="O4" s="15"/>
    </row>
    <row r="5" spans="1:16" ht="15.85" customHeight="1" thickTop="1" thickBot="1" x14ac:dyDescent="0.5">
      <c r="A5" s="4"/>
      <c r="B5" s="10"/>
      <c r="C5" s="35"/>
      <c r="D5" s="10"/>
      <c r="E5" s="10"/>
      <c r="F5" s="10"/>
      <c r="G5" s="10"/>
      <c r="H5" s="10"/>
      <c r="I5" s="10"/>
      <c r="J5" s="10"/>
      <c r="K5" s="10"/>
      <c r="L5" s="10"/>
      <c r="M5" s="10"/>
      <c r="N5" s="2"/>
      <c r="O5" s="9"/>
    </row>
    <row r="6" spans="1:16" ht="15.85" customHeight="1" thickTop="1" thickBot="1" x14ac:dyDescent="0.5">
      <c r="A6" s="4"/>
      <c r="B6" s="6" t="s">
        <v>24</v>
      </c>
      <c r="C6" s="7">
        <f>C7*100000</f>
        <v>10000000</v>
      </c>
      <c r="D6" s="102" t="str">
        <f>"2025 - 2035 : "&amp;$C8*100&amp;"% " &amp; B8</f>
        <v>2025 - 2035 : 80% LQWD 10Y CAGR</v>
      </c>
      <c r="E6" s="102"/>
      <c r="F6" s="102"/>
      <c r="G6" s="102"/>
      <c r="H6" s="102"/>
      <c r="I6" s="102"/>
      <c r="J6" s="102"/>
      <c r="K6" s="102"/>
      <c r="L6" s="102"/>
      <c r="M6" s="102"/>
      <c r="N6" s="12"/>
      <c r="O6" s="80">
        <v>100000</v>
      </c>
      <c r="P6" s="2"/>
    </row>
    <row r="7" spans="1:16" ht="15.75" customHeight="1" thickTop="1" thickBot="1" x14ac:dyDescent="0.5">
      <c r="A7" s="4"/>
      <c r="B7" s="6" t="s">
        <v>3</v>
      </c>
      <c r="C7" s="11">
        <v>100</v>
      </c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2"/>
      <c r="O7" s="118" t="s">
        <v>51</v>
      </c>
      <c r="P7" s="2"/>
    </row>
    <row r="8" spans="1:16" ht="15.85" customHeight="1" thickTop="1" thickBot="1" x14ac:dyDescent="0.5">
      <c r="A8" s="4"/>
      <c r="B8" s="6" t="s">
        <v>61</v>
      </c>
      <c r="C8" s="16">
        <v>0.8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  <c r="N8" s="12"/>
      <c r="O8" s="118"/>
      <c r="P8" s="2"/>
    </row>
    <row r="9" spans="1:16" ht="15.85" customHeight="1" thickTop="1" thickBot="1" x14ac:dyDescent="0.5">
      <c r="A9" s="4"/>
      <c r="B9" s="6" t="s">
        <v>60</v>
      </c>
      <c r="C9" s="72">
        <v>1.25</v>
      </c>
      <c r="D9" s="72">
        <f>C9*C8+C9</f>
        <v>2.25</v>
      </c>
      <c r="E9" s="72">
        <f>D9*C8+D9</f>
        <v>4.05</v>
      </c>
      <c r="F9" s="72">
        <f>E9*C8+E9</f>
        <v>7.29</v>
      </c>
      <c r="G9" s="72">
        <f>F9*C8+F9</f>
        <v>13.122</v>
      </c>
      <c r="H9" s="72">
        <f>G9*C8+G9</f>
        <v>23.619599999999998</v>
      </c>
      <c r="I9" s="72">
        <f>H9*C8+H9</f>
        <v>42.515279999999997</v>
      </c>
      <c r="J9" s="72">
        <f>I9*C8+I9</f>
        <v>76.527503999999993</v>
      </c>
      <c r="K9" s="72">
        <f>J9*C8+J9</f>
        <v>137.74950719999998</v>
      </c>
      <c r="L9" s="72">
        <f>K9*C8+K9</f>
        <v>247.94911295999998</v>
      </c>
      <c r="M9" s="72">
        <f>L9*C8+L9</f>
        <v>446.30840332799994</v>
      </c>
      <c r="N9" s="12"/>
      <c r="O9" s="118"/>
      <c r="P9" s="2"/>
    </row>
    <row r="10" spans="1:16" ht="15.85" customHeight="1" thickTop="1" thickBot="1" x14ac:dyDescent="0.5">
      <c r="A10" s="4"/>
      <c r="B10" s="6" t="s">
        <v>59</v>
      </c>
      <c r="C10" s="7">
        <f t="shared" ref="C10:M10" si="0">C9*C12</f>
        <v>43301413.75</v>
      </c>
      <c r="D10" s="7">
        <f t="shared" si="0"/>
        <v>78332257.473749995</v>
      </c>
      <c r="E10" s="7">
        <f t="shared" si="0"/>
        <v>141703053.77001375</v>
      </c>
      <c r="F10" s="7">
        <f t="shared" si="0"/>
        <v>256340824.26995489</v>
      </c>
      <c r="G10" s="7">
        <f t="shared" si="0"/>
        <v>463720551.10434842</v>
      </c>
      <c r="H10" s="7">
        <f t="shared" si="0"/>
        <v>838870476.94776618</v>
      </c>
      <c r="I10" s="73">
        <f t="shared" si="0"/>
        <v>1517516692.7985091</v>
      </c>
      <c r="J10" s="73">
        <f t="shared" si="0"/>
        <v>2745187697.2725029</v>
      </c>
      <c r="K10" s="73">
        <f t="shared" si="0"/>
        <v>4966044544.3659582</v>
      </c>
      <c r="L10" s="73">
        <f t="shared" si="0"/>
        <v>8983574580.7580185</v>
      </c>
      <c r="M10" s="73">
        <f t="shared" si="0"/>
        <v>16251286416.591253</v>
      </c>
      <c r="N10" s="12"/>
      <c r="O10" s="118"/>
      <c r="P10" s="2"/>
    </row>
    <row r="11" spans="1:16" ht="14.25" customHeight="1" thickTop="1" thickBot="1" x14ac:dyDescent="0.5">
      <c r="A11" s="4"/>
      <c r="B11" s="76" t="s">
        <v>62</v>
      </c>
      <c r="C11" s="74">
        <f>C7*0.00005</f>
        <v>5.0000000000000001E-3</v>
      </c>
      <c r="D11" s="14">
        <f>$C11 * C12</f>
        <v>173205.655</v>
      </c>
      <c r="E11" s="14">
        <f t="shared" ref="E11:M11" si="1">$C11 * D12</f>
        <v>174071.68327500002</v>
      </c>
      <c r="F11" s="14">
        <f t="shared" si="1"/>
        <v>174942.04169137499</v>
      </c>
      <c r="G11" s="14">
        <f t="shared" si="1"/>
        <v>175816.7518998319</v>
      </c>
      <c r="H11" s="14">
        <f t="shared" si="1"/>
        <v>176695.83565933106</v>
      </c>
      <c r="I11" s="14">
        <f t="shared" si="1"/>
        <v>177579.31483762772</v>
      </c>
      <c r="J11" s="14">
        <f t="shared" si="1"/>
        <v>178467.21141181584</v>
      </c>
      <c r="K11" s="14">
        <f t="shared" si="1"/>
        <v>179359.54746887495</v>
      </c>
      <c r="L11" s="14">
        <f t="shared" si="1"/>
        <v>180256.34520621932</v>
      </c>
      <c r="M11" s="14">
        <f t="shared" si="1"/>
        <v>181157.62693225042</v>
      </c>
      <c r="N11" s="12"/>
      <c r="O11" s="118"/>
      <c r="P11" s="2"/>
    </row>
    <row r="12" spans="1:16" ht="15.85" customHeight="1" thickTop="1" thickBot="1" x14ac:dyDescent="0.5">
      <c r="A12" s="4"/>
      <c r="B12" s="6" t="s">
        <v>63</v>
      </c>
      <c r="C12" s="14">
        <v>34641131</v>
      </c>
      <c r="D12" s="14">
        <f>C12+D11</f>
        <v>34814336.655000001</v>
      </c>
      <c r="E12" s="14">
        <f t="shared" ref="E12:M12" si="2">D12+E11</f>
        <v>34988408.338275</v>
      </c>
      <c r="F12" s="14">
        <f t="shared" si="2"/>
        <v>35163350.379966378</v>
      </c>
      <c r="G12" s="14">
        <f t="shared" si="2"/>
        <v>35339167.131866209</v>
      </c>
      <c r="H12" s="14">
        <f t="shared" si="2"/>
        <v>35515862.967525542</v>
      </c>
      <c r="I12" s="14">
        <f t="shared" si="2"/>
        <v>35693442.282363169</v>
      </c>
      <c r="J12" s="14">
        <f t="shared" si="2"/>
        <v>35871909.493774988</v>
      </c>
      <c r="K12" s="14">
        <f t="shared" si="2"/>
        <v>36051269.041243866</v>
      </c>
      <c r="L12" s="14">
        <f t="shared" si="2"/>
        <v>36231525.386450082</v>
      </c>
      <c r="M12" s="14">
        <f t="shared" si="2"/>
        <v>36412683.013382331</v>
      </c>
      <c r="N12" s="12"/>
      <c r="O12" s="118"/>
      <c r="P12" s="2"/>
    </row>
    <row r="13" spans="1:16" ht="15.85" customHeight="1" thickTop="1" thickBot="1" x14ac:dyDescent="0.5">
      <c r="A13" s="4"/>
      <c r="B13" s="113" t="s">
        <v>17</v>
      </c>
      <c r="C13" s="112" t="s">
        <v>22</v>
      </c>
      <c r="D13" s="106" t="s">
        <v>58</v>
      </c>
      <c r="E13" s="106" t="s">
        <v>58</v>
      </c>
      <c r="F13" s="106" t="s">
        <v>58</v>
      </c>
      <c r="G13" s="106" t="s">
        <v>58</v>
      </c>
      <c r="H13" s="106" t="s">
        <v>58</v>
      </c>
      <c r="I13" s="106" t="s">
        <v>58</v>
      </c>
      <c r="J13" s="106" t="s">
        <v>58</v>
      </c>
      <c r="K13" s="106" t="s">
        <v>58</v>
      </c>
      <c r="L13" s="106" t="s">
        <v>58</v>
      </c>
      <c r="M13" s="106" t="s">
        <v>58</v>
      </c>
      <c r="N13" s="2"/>
      <c r="O13" s="20"/>
    </row>
    <row r="14" spans="1:16" ht="15.85" customHeight="1" thickTop="1" thickBot="1" x14ac:dyDescent="0.5">
      <c r="A14" s="4"/>
      <c r="B14" s="113"/>
      <c r="C14" s="112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2"/>
    </row>
    <row r="15" spans="1:16" ht="15.85" customHeight="1" thickTop="1" thickBot="1" x14ac:dyDescent="0.5">
      <c r="A15" s="4"/>
      <c r="B15" s="6" t="s">
        <v>56</v>
      </c>
      <c r="C15" s="19">
        <v>0.3</v>
      </c>
      <c r="D15" s="7">
        <f>$C15*D$9*D$11</f>
        <v>116913.81712499999</v>
      </c>
      <c r="E15" s="7">
        <f t="shared" ref="E15:M15" si="3">$C15*E$9*E$11</f>
        <v>211497.095179125</v>
      </c>
      <c r="F15" s="7">
        <f t="shared" si="3"/>
        <v>382598.2451790371</v>
      </c>
      <c r="G15" s="7">
        <f t="shared" si="3"/>
        <v>692120.22552887828</v>
      </c>
      <c r="H15" s="7">
        <f t="shared" si="3"/>
        <v>1252045.4879817406</v>
      </c>
      <c r="I15" s="7">
        <f t="shared" si="3"/>
        <v>2264950.2877589692</v>
      </c>
      <c r="J15" s="7">
        <f t="shared" si="3"/>
        <v>4097295.0705559738</v>
      </c>
      <c r="K15" s="7">
        <f t="shared" si="3"/>
        <v>7412006.7826357577</v>
      </c>
      <c r="L15" s="7">
        <f t="shared" si="3"/>
        <v>13408320.269788086</v>
      </c>
      <c r="M15" s="7">
        <f t="shared" si="3"/>
        <v>24255651.368046653</v>
      </c>
      <c r="N15" s="2"/>
    </row>
    <row r="16" spans="1:16" ht="15.85" customHeight="1" thickTop="1" thickBot="1" x14ac:dyDescent="0.5">
      <c r="A16" s="4"/>
      <c r="B16" s="6" t="s">
        <v>1</v>
      </c>
      <c r="C16" s="19">
        <v>0.7</v>
      </c>
      <c r="D16" s="7">
        <f t="shared" ref="D16:M18" si="4">$C16*D$9*D$11</f>
        <v>272798.906625</v>
      </c>
      <c r="E16" s="7">
        <f t="shared" si="4"/>
        <v>493493.22208462498</v>
      </c>
      <c r="F16" s="7">
        <f t="shared" si="4"/>
        <v>892729.23875108652</v>
      </c>
      <c r="G16" s="7">
        <f t="shared" si="4"/>
        <v>1614947.1929007159</v>
      </c>
      <c r="H16" s="7">
        <f t="shared" si="4"/>
        <v>2921439.4719573949</v>
      </c>
      <c r="I16" s="7">
        <f t="shared" si="4"/>
        <v>5284884.0047709271</v>
      </c>
      <c r="J16" s="7">
        <f t="shared" si="4"/>
        <v>9560355.1646306068</v>
      </c>
      <c r="K16" s="7">
        <f t="shared" si="4"/>
        <v>17294682.492816769</v>
      </c>
      <c r="L16" s="7">
        <f t="shared" si="4"/>
        <v>31286080.629505537</v>
      </c>
      <c r="M16" s="7">
        <f t="shared" si="4"/>
        <v>56596519.858775511</v>
      </c>
      <c r="N16" s="2"/>
    </row>
    <row r="17" spans="1:16" ht="15.85" customHeight="1" thickTop="1" thickBot="1" x14ac:dyDescent="0.5">
      <c r="A17" s="4"/>
      <c r="B17" s="6" t="s">
        <v>2</v>
      </c>
      <c r="C17" s="19">
        <v>0</v>
      </c>
      <c r="D17" s="7">
        <f t="shared" si="4"/>
        <v>0</v>
      </c>
      <c r="E17" s="7">
        <f t="shared" si="4"/>
        <v>0</v>
      </c>
      <c r="F17" s="7">
        <f t="shared" si="4"/>
        <v>0</v>
      </c>
      <c r="G17" s="7">
        <f t="shared" si="4"/>
        <v>0</v>
      </c>
      <c r="H17" s="7">
        <f t="shared" si="4"/>
        <v>0</v>
      </c>
      <c r="I17" s="7">
        <f t="shared" si="4"/>
        <v>0</v>
      </c>
      <c r="J17" s="7">
        <f t="shared" si="4"/>
        <v>0</v>
      </c>
      <c r="K17" s="7">
        <f t="shared" si="4"/>
        <v>0</v>
      </c>
      <c r="L17" s="7">
        <f t="shared" si="4"/>
        <v>0</v>
      </c>
      <c r="M17" s="7">
        <f t="shared" si="4"/>
        <v>0</v>
      </c>
      <c r="N17" s="2"/>
    </row>
    <row r="18" spans="1:16" ht="15.85" customHeight="1" thickTop="1" thickBot="1" x14ac:dyDescent="0.5">
      <c r="A18" s="4"/>
      <c r="B18" s="6" t="s">
        <v>0</v>
      </c>
      <c r="C18" s="19">
        <f>SUM(C15:C17)</f>
        <v>1</v>
      </c>
      <c r="D18" s="7">
        <f t="shared" si="4"/>
        <v>389712.72375</v>
      </c>
      <c r="E18" s="7">
        <f t="shared" si="4"/>
        <v>704990.31726375001</v>
      </c>
      <c r="F18" s="7">
        <f t="shared" si="4"/>
        <v>1275327.4839301237</v>
      </c>
      <c r="G18" s="7">
        <f t="shared" si="4"/>
        <v>2307067.418429594</v>
      </c>
      <c r="H18" s="7">
        <f t="shared" si="4"/>
        <v>4173484.9599391357</v>
      </c>
      <c r="I18" s="7">
        <f t="shared" si="4"/>
        <v>7549834.2925298968</v>
      </c>
      <c r="J18" s="7">
        <f t="shared" si="4"/>
        <v>13657650.235186581</v>
      </c>
      <c r="K18" s="7">
        <f t="shared" si="4"/>
        <v>24706689.275452528</v>
      </c>
      <c r="L18" s="7">
        <f t="shared" si="4"/>
        <v>44694400.899293624</v>
      </c>
      <c r="M18" s="7">
        <f t="shared" si="4"/>
        <v>80852171.226822168</v>
      </c>
      <c r="N18" s="2"/>
      <c r="O18" s="9"/>
    </row>
    <row r="19" spans="1:16" ht="15.85" customHeight="1" thickTop="1" thickBot="1" x14ac:dyDescent="0.5">
      <c r="A19" s="4"/>
      <c r="B19" s="119" t="s">
        <v>40</v>
      </c>
      <c r="C19" s="120"/>
      <c r="D19" s="114" t="s">
        <v>16</v>
      </c>
      <c r="E19" s="114"/>
      <c r="F19" s="114"/>
      <c r="G19" s="114"/>
      <c r="H19" s="114"/>
      <c r="I19" s="114" t="s">
        <v>42</v>
      </c>
      <c r="J19" s="114"/>
      <c r="K19" s="114"/>
      <c r="L19" s="114"/>
      <c r="M19" s="114"/>
      <c r="N19" s="12"/>
      <c r="O19" s="8" t="s">
        <v>27</v>
      </c>
    </row>
    <row r="20" spans="1:16" ht="15.85" customHeight="1" thickTop="1" thickBot="1" x14ac:dyDescent="0.5">
      <c r="A20" s="4"/>
      <c r="B20" s="121"/>
      <c r="C20" s="122"/>
      <c r="D20" s="5" t="s">
        <v>26</v>
      </c>
      <c r="E20" s="5" t="s">
        <v>19</v>
      </c>
      <c r="F20" s="5" t="s">
        <v>66</v>
      </c>
      <c r="G20" s="5" t="s">
        <v>65</v>
      </c>
      <c r="H20" s="5" t="s">
        <v>64</v>
      </c>
      <c r="I20" s="5" t="s">
        <v>26</v>
      </c>
      <c r="J20" s="5" t="s">
        <v>19</v>
      </c>
      <c r="K20" s="5" t="s">
        <v>66</v>
      </c>
      <c r="L20" s="5" t="s">
        <v>65</v>
      </c>
      <c r="M20" s="5" t="s">
        <v>64</v>
      </c>
      <c r="N20" s="12"/>
      <c r="O20" s="82" t="s">
        <v>41</v>
      </c>
    </row>
    <row r="21" spans="1:16" ht="15.85" customHeight="1" thickTop="1" thickBot="1" x14ac:dyDescent="0.5">
      <c r="A21" s="4"/>
      <c r="B21" s="115" t="s">
        <v>56</v>
      </c>
      <c r="C21" s="115"/>
      <c r="D21" s="75" t="str">
        <f>TEXT(ROUND(H15/$C$6/5*100, 2), "0.00") &amp; "%"</f>
        <v>2.50%</v>
      </c>
      <c r="E21" s="7">
        <f>ROUND($H15/5, 2)</f>
        <v>250409.1</v>
      </c>
      <c r="F21" s="7">
        <f>$E21*10</f>
        <v>2504091</v>
      </c>
      <c r="G21" s="7">
        <f>$E21*100</f>
        <v>25040910</v>
      </c>
      <c r="H21" s="7">
        <f>$E21*1000</f>
        <v>250409100</v>
      </c>
      <c r="I21" s="75" t="str">
        <f>TEXT(ROUND((M15-H15)/$C$6/5*100, 2), "0.00") &amp; "%"</f>
        <v>46.01%</v>
      </c>
      <c r="J21" s="7">
        <f>ROUND(($M15-$H15)/5, 2)</f>
        <v>4600721.18</v>
      </c>
      <c r="K21" s="7">
        <f t="shared" ref="K21:M24" si="5">J21*10</f>
        <v>46007211.799999997</v>
      </c>
      <c r="L21" s="7">
        <f t="shared" si="5"/>
        <v>460072118</v>
      </c>
      <c r="M21" s="73">
        <f t="shared" si="5"/>
        <v>4600721180</v>
      </c>
      <c r="N21" s="12"/>
      <c r="O21" s="11" t="str">
        <f>TEXT(ROUND(M15/$C$6/10*100, 2), "0.00") &amp; "%"</f>
        <v>24.26%</v>
      </c>
    </row>
    <row r="22" spans="1:16" ht="15.85" customHeight="1" thickTop="1" thickBot="1" x14ac:dyDescent="0.5">
      <c r="A22" s="4"/>
      <c r="B22" s="115" t="s">
        <v>1</v>
      </c>
      <c r="C22" s="115"/>
      <c r="D22" s="75" t="str">
        <f>TEXT(ROUND(H16/$C$6/5*100, 2), "0.00") &amp; "%"</f>
        <v>5.84%</v>
      </c>
      <c r="E22" s="7">
        <f>ROUND($H16/5, 2)</f>
        <v>584287.89</v>
      </c>
      <c r="F22" s="7">
        <f t="shared" ref="F22:F24" si="6">$E22*10</f>
        <v>5842878.9000000004</v>
      </c>
      <c r="G22" s="7">
        <f t="shared" ref="G22:G24" si="7">$E22*100</f>
        <v>58428789</v>
      </c>
      <c r="H22" s="7">
        <f t="shared" ref="H22:H24" si="8">$E22*1000</f>
        <v>584287890</v>
      </c>
      <c r="I22" s="75" t="str">
        <f>TEXT(ROUND((M16-H16)/$C$6/5*100, 2), "0.00") &amp; "%"</f>
        <v>107.35%</v>
      </c>
      <c r="J22" s="7">
        <f>ROUND(($M16-$H16)/5, 2)</f>
        <v>10735016.08</v>
      </c>
      <c r="K22" s="7">
        <f t="shared" si="5"/>
        <v>107350160.8</v>
      </c>
      <c r="L22" s="7">
        <f t="shared" si="5"/>
        <v>1073501608</v>
      </c>
      <c r="M22" s="73">
        <f t="shared" si="5"/>
        <v>10735016080</v>
      </c>
      <c r="N22" s="12"/>
      <c r="O22" s="11" t="str">
        <f>TEXT(ROUND(M16/$C$6/10*100, 2), "0.00") &amp; "%"</f>
        <v>56.60%</v>
      </c>
    </row>
    <row r="23" spans="1:16" ht="15.85" customHeight="1" thickTop="1" thickBot="1" x14ac:dyDescent="0.5">
      <c r="A23" s="4"/>
      <c r="B23" s="115" t="s">
        <v>2</v>
      </c>
      <c r="C23" s="115"/>
      <c r="D23" s="75" t="str">
        <f>TEXT(ROUND(H17/$C$6/5*100, 2), "0.00") &amp; "%"</f>
        <v>0.00%</v>
      </c>
      <c r="E23" s="7">
        <f>ROUND($H17/5, 2)</f>
        <v>0</v>
      </c>
      <c r="F23" s="7">
        <f t="shared" si="6"/>
        <v>0</v>
      </c>
      <c r="G23" s="7">
        <f t="shared" si="7"/>
        <v>0</v>
      </c>
      <c r="H23" s="7">
        <f t="shared" si="8"/>
        <v>0</v>
      </c>
      <c r="I23" s="75" t="str">
        <f>TEXT(ROUND((M17-H17)/$C$6/5*100, 2), "0.00") &amp; "%"</f>
        <v>0.00%</v>
      </c>
      <c r="J23" s="7">
        <f>ROUND(($M17-$H17)/5, 2)</f>
        <v>0</v>
      </c>
      <c r="K23" s="7">
        <f t="shared" si="5"/>
        <v>0</v>
      </c>
      <c r="L23" s="7">
        <f t="shared" si="5"/>
        <v>0</v>
      </c>
      <c r="M23" s="73">
        <f t="shared" si="5"/>
        <v>0</v>
      </c>
      <c r="N23" s="12"/>
      <c r="O23" s="11" t="str">
        <f>TEXT(ROUND(M17/$C$6/10*100, 2), "0.00") &amp; "%"</f>
        <v>0.00%</v>
      </c>
    </row>
    <row r="24" spans="1:16" ht="15.85" customHeight="1" thickTop="1" thickBot="1" x14ac:dyDescent="0.5">
      <c r="A24" s="4"/>
      <c r="B24" s="115" t="s">
        <v>0</v>
      </c>
      <c r="C24" s="115"/>
      <c r="D24" s="75" t="str">
        <f>TEXT(ROUND(H18/$C$6/5*100, 2), "0.00") &amp; "%"</f>
        <v>8.35%</v>
      </c>
      <c r="E24" s="7">
        <f>ROUND($H18/5, 2)</f>
        <v>834696.99</v>
      </c>
      <c r="F24" s="7">
        <f t="shared" si="6"/>
        <v>8346969.9000000004</v>
      </c>
      <c r="G24" s="7">
        <f t="shared" si="7"/>
        <v>83469699</v>
      </c>
      <c r="H24" s="7">
        <f t="shared" si="8"/>
        <v>834696990</v>
      </c>
      <c r="I24" s="75" t="str">
        <f>TEXT(ROUND((M18-H18)/$C$6/5*100, 2), "0.00") &amp; "%"</f>
        <v>153.36%</v>
      </c>
      <c r="J24" s="7">
        <f>ROUND(($M18-$H18)/5, 2)</f>
        <v>15335737.25</v>
      </c>
      <c r="K24" s="7">
        <f t="shared" si="5"/>
        <v>153357372.5</v>
      </c>
      <c r="L24" s="7">
        <f t="shared" si="5"/>
        <v>1533573725</v>
      </c>
      <c r="M24" s="73">
        <f t="shared" si="5"/>
        <v>15335737250</v>
      </c>
      <c r="N24" s="2"/>
      <c r="O24" s="20"/>
    </row>
    <row r="25" spans="1:16" ht="15.85" customHeight="1" thickTop="1" thickBot="1" x14ac:dyDescent="0.5">
      <c r="A25" s="4"/>
      <c r="B25" s="116" t="s">
        <v>63</v>
      </c>
      <c r="C25" s="117"/>
      <c r="D25" s="77"/>
      <c r="E25" s="14">
        <f>H12</f>
        <v>35515862.967525542</v>
      </c>
      <c r="F25" s="14">
        <f>E25*10</f>
        <v>355158629.67525542</v>
      </c>
      <c r="G25" s="79">
        <f t="shared" ref="G25:H25" si="9">F25*10</f>
        <v>3551586296.7525539</v>
      </c>
      <c r="H25" s="79">
        <f t="shared" si="9"/>
        <v>35515862967.525543</v>
      </c>
      <c r="I25" s="78"/>
      <c r="J25" s="14">
        <f>M12</f>
        <v>36412683.013382331</v>
      </c>
      <c r="K25" s="14">
        <f>J25*10</f>
        <v>364126830.13382328</v>
      </c>
      <c r="L25" s="79">
        <f t="shared" ref="L25:M25" si="10">K25*10</f>
        <v>3641268301.338233</v>
      </c>
      <c r="M25" s="79">
        <f t="shared" si="10"/>
        <v>36412683013.382332</v>
      </c>
      <c r="N25" s="2"/>
      <c r="O25" s="10"/>
    </row>
    <row r="26" spans="1:16" ht="15.85" customHeight="1" thickTop="1" thickBot="1" x14ac:dyDescent="0.5">
      <c r="B26" s="10"/>
      <c r="C26" s="35"/>
      <c r="D26" s="10"/>
      <c r="E26" s="10"/>
      <c r="F26" s="10"/>
      <c r="G26" s="10"/>
      <c r="H26" s="10"/>
      <c r="I26" s="10"/>
      <c r="J26" s="10"/>
      <c r="K26" s="10"/>
      <c r="L26" s="10"/>
      <c r="M26" s="10"/>
      <c r="O26" s="9"/>
    </row>
    <row r="27" spans="1:16" ht="15.75" customHeight="1" thickTop="1" thickBot="1" x14ac:dyDescent="0.5">
      <c r="A27" s="4"/>
      <c r="B27" s="6" t="s">
        <v>24</v>
      </c>
      <c r="C27" s="7">
        <f>C28*1300000</f>
        <v>130000000</v>
      </c>
      <c r="D27" s="102" t="str">
        <f>"2035 - 2045 : "&amp;$C29*100&amp;"% " &amp; B29</f>
        <v>2035 - 2045 : 60% LQWD 10Y CAGR</v>
      </c>
      <c r="E27" s="102"/>
      <c r="F27" s="102"/>
      <c r="G27" s="102"/>
      <c r="H27" s="102"/>
      <c r="I27" s="102"/>
      <c r="J27" s="102"/>
      <c r="K27" s="102"/>
      <c r="L27" s="102"/>
      <c r="M27" s="102"/>
      <c r="N27" s="12"/>
      <c r="O27" s="80">
        <v>1300000</v>
      </c>
      <c r="P27" s="2"/>
    </row>
    <row r="28" spans="1:16" ht="15.85" customHeight="1" thickTop="1" thickBot="1" x14ac:dyDescent="0.5">
      <c r="A28" s="4"/>
      <c r="B28" s="6" t="s">
        <v>3</v>
      </c>
      <c r="C28" s="11">
        <v>100</v>
      </c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2"/>
      <c r="O28" s="118" t="s">
        <v>52</v>
      </c>
      <c r="P28" s="2"/>
    </row>
    <row r="29" spans="1:16" ht="15.85" customHeight="1" thickTop="1" thickBot="1" x14ac:dyDescent="0.5">
      <c r="A29" s="4"/>
      <c r="B29" s="6" t="s">
        <v>61</v>
      </c>
      <c r="C29" s="16">
        <v>0.6</v>
      </c>
      <c r="D29" s="5" t="s">
        <v>4</v>
      </c>
      <c r="E29" s="5" t="s">
        <v>5</v>
      </c>
      <c r="F29" s="5" t="s">
        <v>6</v>
      </c>
      <c r="G29" s="5" t="s">
        <v>7</v>
      </c>
      <c r="H29" s="5" t="s">
        <v>8</v>
      </c>
      <c r="I29" s="5" t="s">
        <v>9</v>
      </c>
      <c r="J29" s="5" t="s">
        <v>10</v>
      </c>
      <c r="K29" s="5" t="s">
        <v>11</v>
      </c>
      <c r="L29" s="5" t="s">
        <v>12</v>
      </c>
      <c r="M29" s="5" t="s">
        <v>13</v>
      </c>
      <c r="N29" s="12"/>
      <c r="O29" s="118"/>
      <c r="P29" s="2"/>
    </row>
    <row r="30" spans="1:16" ht="15.85" customHeight="1" thickTop="1" thickBot="1" x14ac:dyDescent="0.5">
      <c r="A30" s="4"/>
      <c r="B30" s="6" t="s">
        <v>60</v>
      </c>
      <c r="C30" s="72">
        <f>M9</f>
        <v>446.30840332799994</v>
      </c>
      <c r="D30" s="72">
        <f>C30*C29+C30</f>
        <v>714.09344532479986</v>
      </c>
      <c r="E30" s="72">
        <f>D30*C29+D30</f>
        <v>1142.5495125196799</v>
      </c>
      <c r="F30" s="72">
        <f>E30*C29+E30</f>
        <v>1828.0792200314877</v>
      </c>
      <c r="G30" s="72">
        <f>F30*C29+F30</f>
        <v>2924.9267520503799</v>
      </c>
      <c r="H30" s="72">
        <f>G30*C29+G30</f>
        <v>4679.8828032806077</v>
      </c>
      <c r="I30" s="72">
        <f>H30*C29+H30</f>
        <v>7487.8124852489727</v>
      </c>
      <c r="J30" s="72">
        <f>I30*C29+I30</f>
        <v>11980.499976398356</v>
      </c>
      <c r="K30" s="72">
        <f>J30*C29+J30</f>
        <v>19168.799962237368</v>
      </c>
      <c r="L30" s="72">
        <f>K30*C29+K30</f>
        <v>30670.079939579788</v>
      </c>
      <c r="M30" s="72">
        <f>L30*C29+L30</f>
        <v>49072.127903327659</v>
      </c>
      <c r="N30" s="12"/>
      <c r="O30" s="118"/>
      <c r="P30" s="2"/>
    </row>
    <row r="31" spans="1:16" ht="15.75" customHeight="1" thickTop="1" thickBot="1" x14ac:dyDescent="0.5">
      <c r="A31" s="4"/>
      <c r="B31" s="6" t="s">
        <v>59</v>
      </c>
      <c r="C31" s="73">
        <f t="shared" ref="C31:M31" si="11">C30*C33</f>
        <v>16251286416.591253</v>
      </c>
      <c r="D31" s="73">
        <f t="shared" si="11"/>
        <v>26028060324.81255</v>
      </c>
      <c r="E31" s="73">
        <f t="shared" si="11"/>
        <v>41686541416.21978</v>
      </c>
      <c r="F31" s="73">
        <f t="shared" si="11"/>
        <v>66765164732.217598</v>
      </c>
      <c r="G31" s="73">
        <f t="shared" si="11"/>
        <v>106931087835.11971</v>
      </c>
      <c r="H31" s="73">
        <f t="shared" si="11"/>
        <v>171260830276.72769</v>
      </c>
      <c r="I31" s="73">
        <f t="shared" si="11"/>
        <v>274291345771.20709</v>
      </c>
      <c r="J31" s="73">
        <f t="shared" si="11"/>
        <v>439305019387.16528</v>
      </c>
      <c r="K31" s="73">
        <f t="shared" si="11"/>
        <v>703590919050.48389</v>
      </c>
      <c r="L31" s="73">
        <f t="shared" si="11"/>
        <v>1126871215951.2549</v>
      </c>
      <c r="M31" s="73">
        <f t="shared" si="11"/>
        <v>1804796939467.5298</v>
      </c>
      <c r="N31" s="12"/>
      <c r="O31" s="118"/>
      <c r="P31" s="2"/>
    </row>
    <row r="32" spans="1:16" ht="14.25" customHeight="1" thickTop="1" thickBot="1" x14ac:dyDescent="0.5">
      <c r="A32" s="4"/>
      <c r="B32" s="76" t="s">
        <v>62</v>
      </c>
      <c r="C32" s="74">
        <f>C28*0.00001</f>
        <v>1E-3</v>
      </c>
      <c r="D32" s="14">
        <f>$C32 * C33</f>
        <v>36412.683013382331</v>
      </c>
      <c r="E32" s="14">
        <f t="shared" ref="E32:M32" si="12">$C32 * D33</f>
        <v>36449.095696395714</v>
      </c>
      <c r="F32" s="14">
        <f t="shared" si="12"/>
        <v>36485.544792092107</v>
      </c>
      <c r="G32" s="14">
        <f t="shared" si="12"/>
        <v>36522.0303368842</v>
      </c>
      <c r="H32" s="14">
        <f t="shared" si="12"/>
        <v>36558.552367221091</v>
      </c>
      <c r="I32" s="14">
        <f t="shared" si="12"/>
        <v>36595.110919588304</v>
      </c>
      <c r="J32" s="14">
        <f t="shared" si="12"/>
        <v>36631.706030507892</v>
      </c>
      <c r="K32" s="14">
        <f t="shared" si="12"/>
        <v>36668.3377365384</v>
      </c>
      <c r="L32" s="14">
        <f t="shared" si="12"/>
        <v>36705.006074274941</v>
      </c>
      <c r="M32" s="14">
        <f t="shared" si="12"/>
        <v>36741.711080349218</v>
      </c>
      <c r="N32" s="12"/>
      <c r="O32" s="118"/>
      <c r="P32" s="2"/>
    </row>
    <row r="33" spans="1:16" ht="15.85" customHeight="1" thickTop="1" thickBot="1" x14ac:dyDescent="0.5">
      <c r="A33" s="4"/>
      <c r="B33" s="6" t="s">
        <v>63</v>
      </c>
      <c r="C33" s="14">
        <f>M12</f>
        <v>36412683.013382331</v>
      </c>
      <c r="D33" s="14">
        <f>C33+D32</f>
        <v>36449095.69639571</v>
      </c>
      <c r="E33" s="14">
        <f t="shared" ref="E33" si="13">D33+E32</f>
        <v>36485544.792092107</v>
      </c>
      <c r="F33" s="14">
        <f t="shared" ref="F33" si="14">E33+F32</f>
        <v>36522030.336884201</v>
      </c>
      <c r="G33" s="14">
        <f t="shared" ref="G33" si="15">F33+G32</f>
        <v>36558552.367221087</v>
      </c>
      <c r="H33" s="14">
        <f t="shared" ref="H33" si="16">G33+H32</f>
        <v>36595110.919588305</v>
      </c>
      <c r="I33" s="14">
        <f t="shared" ref="I33" si="17">H33+I32</f>
        <v>36631706.030507892</v>
      </c>
      <c r="J33" s="14">
        <f t="shared" ref="J33" si="18">I33+J32</f>
        <v>36668337.736538403</v>
      </c>
      <c r="K33" s="14">
        <f t="shared" ref="K33" si="19">J33+K32</f>
        <v>36705006.074274942</v>
      </c>
      <c r="L33" s="14">
        <f t="shared" ref="L33" si="20">K33+L32</f>
        <v>36741711.080349214</v>
      </c>
      <c r="M33" s="14">
        <f t="shared" ref="M33" si="21">L33+M32</f>
        <v>36778452.791429564</v>
      </c>
      <c r="N33" s="12"/>
      <c r="O33" s="118"/>
      <c r="P33" s="2"/>
    </row>
    <row r="34" spans="1:16" ht="15.85" customHeight="1" thickTop="1" thickBot="1" x14ac:dyDescent="0.5">
      <c r="A34" s="4"/>
      <c r="B34" s="113" t="s">
        <v>17</v>
      </c>
      <c r="C34" s="112" t="s">
        <v>22</v>
      </c>
      <c r="D34" s="103" t="s">
        <v>58</v>
      </c>
      <c r="E34" s="103" t="s">
        <v>58</v>
      </c>
      <c r="F34" s="103" t="s">
        <v>58</v>
      </c>
      <c r="G34" s="103" t="s">
        <v>58</v>
      </c>
      <c r="H34" s="103" t="s">
        <v>58</v>
      </c>
      <c r="I34" s="103" t="s">
        <v>58</v>
      </c>
      <c r="J34" s="103" t="s">
        <v>58</v>
      </c>
      <c r="K34" s="103" t="s">
        <v>58</v>
      </c>
      <c r="L34" s="103" t="s">
        <v>58</v>
      </c>
      <c r="M34" s="103" t="s">
        <v>58</v>
      </c>
      <c r="N34" s="2"/>
      <c r="O34" s="20"/>
    </row>
    <row r="35" spans="1:16" ht="15.85" customHeight="1" thickTop="1" thickBot="1" x14ac:dyDescent="0.5">
      <c r="A35" s="4"/>
      <c r="B35" s="113"/>
      <c r="C35" s="112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2"/>
    </row>
    <row r="36" spans="1:16" ht="15.85" customHeight="1" thickTop="1" thickBot="1" x14ac:dyDescent="0.5">
      <c r="A36" s="4"/>
      <c r="B36" s="6" t="s">
        <v>56</v>
      </c>
      <c r="C36" s="19">
        <v>0.3</v>
      </c>
      <c r="D36" s="7">
        <f>$C36*D$30*D$32</f>
        <v>7800617.4799638009</v>
      </c>
      <c r="E36" s="7">
        <f t="shared" ref="E36:M36" si="22">$C36*E$30*E$32</f>
        <v>12493468.955910025</v>
      </c>
      <c r="F36" s="7">
        <f t="shared" si="22"/>
        <v>20009539.879785493</v>
      </c>
      <c r="G36" s="7">
        <f t="shared" si="22"/>
        <v>32047279.071464445</v>
      </c>
      <c r="H36" s="7">
        <f t="shared" si="22"/>
        <v>51326922.160857461</v>
      </c>
      <c r="I36" s="7">
        <f t="shared" si="22"/>
        <v>82205198.532829285</v>
      </c>
      <c r="J36" s="7">
        <f t="shared" si="22"/>
        <v>131659845.97017938</v>
      </c>
      <c r="K36" s="7">
        <f t="shared" si="22"/>
        <v>210866409.3058393</v>
      </c>
      <c r="L36" s="7">
        <f t="shared" si="22"/>
        <v>337723641.14423221</v>
      </c>
      <c r="M36" s="7">
        <f t="shared" si="22"/>
        <v>540898183.65660226</v>
      </c>
      <c r="N36" s="2"/>
    </row>
    <row r="37" spans="1:16" ht="15.75" customHeight="1" thickTop="1" thickBot="1" x14ac:dyDescent="0.5">
      <c r="A37" s="4"/>
      <c r="B37" s="6" t="s">
        <v>1</v>
      </c>
      <c r="C37" s="19">
        <v>0.7</v>
      </c>
      <c r="D37" s="7">
        <f t="shared" ref="D37:M39" si="23">$C37*D$30*D$32</f>
        <v>18201440.786582202</v>
      </c>
      <c r="E37" s="7">
        <f t="shared" si="23"/>
        <v>29151427.563790057</v>
      </c>
      <c r="F37" s="7">
        <f t="shared" si="23"/>
        <v>46688926.386166148</v>
      </c>
      <c r="G37" s="7">
        <f t="shared" si="23"/>
        <v>74776984.5000837</v>
      </c>
      <c r="H37" s="7">
        <f t="shared" si="23"/>
        <v>119762818.37533407</v>
      </c>
      <c r="I37" s="7">
        <f t="shared" si="23"/>
        <v>191812129.909935</v>
      </c>
      <c r="J37" s="7">
        <f t="shared" si="23"/>
        <v>307206307.26375192</v>
      </c>
      <c r="K37" s="7">
        <f t="shared" si="23"/>
        <v>492021621.71362501</v>
      </c>
      <c r="L37" s="7">
        <f t="shared" si="23"/>
        <v>788021829.33654177</v>
      </c>
      <c r="M37" s="7">
        <f t="shared" si="23"/>
        <v>1262095761.8654056</v>
      </c>
      <c r="N37" s="2"/>
    </row>
    <row r="38" spans="1:16" ht="15.85" customHeight="1" thickTop="1" thickBot="1" x14ac:dyDescent="0.5">
      <c r="A38" s="4"/>
      <c r="B38" s="6" t="s">
        <v>2</v>
      </c>
      <c r="C38" s="19">
        <v>0</v>
      </c>
      <c r="D38" s="7">
        <f t="shared" si="23"/>
        <v>0</v>
      </c>
      <c r="E38" s="7">
        <f t="shared" si="23"/>
        <v>0</v>
      </c>
      <c r="F38" s="7">
        <f t="shared" si="23"/>
        <v>0</v>
      </c>
      <c r="G38" s="7">
        <f t="shared" si="23"/>
        <v>0</v>
      </c>
      <c r="H38" s="7">
        <f t="shared" si="23"/>
        <v>0</v>
      </c>
      <c r="I38" s="7">
        <f t="shared" si="23"/>
        <v>0</v>
      </c>
      <c r="J38" s="7">
        <f t="shared" si="23"/>
        <v>0</v>
      </c>
      <c r="K38" s="7">
        <f t="shared" si="23"/>
        <v>0</v>
      </c>
      <c r="L38" s="7">
        <f t="shared" si="23"/>
        <v>0</v>
      </c>
      <c r="M38" s="7">
        <f t="shared" si="23"/>
        <v>0</v>
      </c>
      <c r="N38" s="2"/>
    </row>
    <row r="39" spans="1:16" ht="15.85" customHeight="1" thickTop="1" thickBot="1" x14ac:dyDescent="0.5">
      <c r="A39" s="4"/>
      <c r="B39" s="6" t="s">
        <v>0</v>
      </c>
      <c r="C39" s="19">
        <f>SUM(C36:C38)</f>
        <v>1</v>
      </c>
      <c r="D39" s="7">
        <f t="shared" si="23"/>
        <v>26002058.266546004</v>
      </c>
      <c r="E39" s="7">
        <f t="shared" si="23"/>
        <v>41644896.519700088</v>
      </c>
      <c r="F39" s="7">
        <f t="shared" si="23"/>
        <v>66698466.265951648</v>
      </c>
      <c r="G39" s="7">
        <f t="shared" si="23"/>
        <v>106824263.57154815</v>
      </c>
      <c r="H39" s="7">
        <f t="shared" si="23"/>
        <v>171089740.53619152</v>
      </c>
      <c r="I39" s="7">
        <f t="shared" si="23"/>
        <v>274017328.44276434</v>
      </c>
      <c r="J39" s="7">
        <f t="shared" si="23"/>
        <v>438866153.2339313</v>
      </c>
      <c r="K39" s="7">
        <f t="shared" si="23"/>
        <v>702888031.01946437</v>
      </c>
      <c r="L39" s="7">
        <f t="shared" si="23"/>
        <v>1125745470.4807742</v>
      </c>
      <c r="M39" s="7">
        <f t="shared" si="23"/>
        <v>1802993945.5220079</v>
      </c>
      <c r="N39" s="2"/>
      <c r="O39" s="9"/>
    </row>
    <row r="40" spans="1:16" ht="15.85" customHeight="1" thickTop="1" thickBot="1" x14ac:dyDescent="0.5">
      <c r="A40" s="4"/>
      <c r="B40" s="119" t="s">
        <v>40</v>
      </c>
      <c r="C40" s="120"/>
      <c r="D40" s="114" t="s">
        <v>23</v>
      </c>
      <c r="E40" s="114"/>
      <c r="F40" s="114"/>
      <c r="G40" s="114"/>
      <c r="H40" s="114"/>
      <c r="I40" s="114" t="s">
        <v>43</v>
      </c>
      <c r="J40" s="114"/>
      <c r="K40" s="114"/>
      <c r="L40" s="114"/>
      <c r="M40" s="114"/>
      <c r="N40" s="12"/>
      <c r="O40" s="8" t="s">
        <v>28</v>
      </c>
    </row>
    <row r="41" spans="1:16" ht="15.85" customHeight="1" thickTop="1" thickBot="1" x14ac:dyDescent="0.5">
      <c r="A41" s="4"/>
      <c r="B41" s="121"/>
      <c r="C41" s="122"/>
      <c r="D41" s="5" t="s">
        <v>26</v>
      </c>
      <c r="E41" s="5" t="s">
        <v>19</v>
      </c>
      <c r="F41" s="5" t="s">
        <v>66</v>
      </c>
      <c r="G41" s="5" t="s">
        <v>65</v>
      </c>
      <c r="H41" s="5" t="s">
        <v>64</v>
      </c>
      <c r="I41" s="5" t="s">
        <v>26</v>
      </c>
      <c r="J41" s="5" t="s">
        <v>19</v>
      </c>
      <c r="K41" s="5" t="s">
        <v>66</v>
      </c>
      <c r="L41" s="5" t="s">
        <v>65</v>
      </c>
      <c r="M41" s="5" t="s">
        <v>64</v>
      </c>
      <c r="N41" s="12"/>
      <c r="O41" s="81" t="s">
        <v>41</v>
      </c>
    </row>
    <row r="42" spans="1:16" s="3" customFormat="1" ht="15.85" customHeight="1" thickTop="1" thickBot="1" x14ac:dyDescent="0.5">
      <c r="A42" s="4"/>
      <c r="B42" s="115" t="s">
        <v>56</v>
      </c>
      <c r="C42" s="115"/>
      <c r="D42" s="75" t="str">
        <f>TEXT(ROUND(H36/$C$27/5*100, 2), "0.00") &amp; "%"</f>
        <v>7.90%</v>
      </c>
      <c r="E42" s="7">
        <f>ROUND($H36/5, 2)</f>
        <v>10265384.43</v>
      </c>
      <c r="F42" s="73">
        <f>$E42*10</f>
        <v>102653844.3</v>
      </c>
      <c r="G42" s="73">
        <f>$E42*100</f>
        <v>1026538443</v>
      </c>
      <c r="H42" s="73">
        <f>$E42*1000</f>
        <v>10265384430</v>
      </c>
      <c r="I42" s="75" t="str">
        <f>TEXT(ROUND((M36-H36)/$C$27/5*100, 2), "0.00") &amp; "%"</f>
        <v>75.32%</v>
      </c>
      <c r="J42" s="7">
        <f>ROUND(($M36-$H36)/5, 2)</f>
        <v>97914252.299999997</v>
      </c>
      <c r="K42" s="73">
        <f t="shared" ref="K42:M45" si="24">J42*10</f>
        <v>979142523</v>
      </c>
      <c r="L42" s="73">
        <f t="shared" si="24"/>
        <v>9791425230</v>
      </c>
      <c r="M42" s="73">
        <f t="shared" si="24"/>
        <v>97914252300</v>
      </c>
      <c r="N42" s="12"/>
      <c r="O42" s="11" t="str">
        <f>TEXT(ROUND(M36/$C$27/10*100, 2), "0.00") &amp; "%"</f>
        <v>41.61%</v>
      </c>
    </row>
    <row r="43" spans="1:16" ht="15.85" customHeight="1" thickTop="1" thickBot="1" x14ac:dyDescent="0.5">
      <c r="A43" s="4"/>
      <c r="B43" s="115" t="s">
        <v>1</v>
      </c>
      <c r="C43" s="115"/>
      <c r="D43" s="75" t="str">
        <f>TEXT(ROUND(H37/$C$27/5*100, 2), "0.00") &amp; "%"</f>
        <v>18.43%</v>
      </c>
      <c r="E43" s="7">
        <f>ROUND($H37/5, 2)</f>
        <v>23952563.68</v>
      </c>
      <c r="F43" s="73">
        <f t="shared" ref="F43:F45" si="25">$E43*10</f>
        <v>239525636.80000001</v>
      </c>
      <c r="G43" s="73">
        <f t="shared" ref="G43:G45" si="26">$E43*100</f>
        <v>2395256368</v>
      </c>
      <c r="H43" s="73">
        <f t="shared" ref="H43:H45" si="27">$E43*1000</f>
        <v>23952563680</v>
      </c>
      <c r="I43" s="75" t="str">
        <f>TEXT(ROUND((M37-H37)/$C$27/5*100, 2), "0.00") &amp; "%"</f>
        <v>175.74%</v>
      </c>
      <c r="J43" s="7">
        <f>ROUND(($M37-$H37)/5, 2)</f>
        <v>228466588.69999999</v>
      </c>
      <c r="K43" s="73">
        <f t="shared" si="24"/>
        <v>2284665887</v>
      </c>
      <c r="L43" s="73">
        <f t="shared" si="24"/>
        <v>22846658870</v>
      </c>
      <c r="M43" s="73">
        <f t="shared" si="24"/>
        <v>228466588700</v>
      </c>
      <c r="N43" s="12"/>
      <c r="O43" s="11" t="str">
        <f>TEXT(ROUND(M37/$C$27/10*100, 2), "0.00") &amp; "%"</f>
        <v>97.08%</v>
      </c>
    </row>
    <row r="44" spans="1:16" ht="15.85" customHeight="1" thickTop="1" thickBot="1" x14ac:dyDescent="0.5">
      <c r="A44" s="4"/>
      <c r="B44" s="115" t="s">
        <v>2</v>
      </c>
      <c r="C44" s="115"/>
      <c r="D44" s="75" t="str">
        <f>TEXT(ROUND(H38/$C$27/5*100, 2), "0.00") &amp; "%"</f>
        <v>0.00%</v>
      </c>
      <c r="E44" s="7">
        <f>ROUND($H38/5, 2)</f>
        <v>0</v>
      </c>
      <c r="F44" s="73">
        <f t="shared" si="25"/>
        <v>0</v>
      </c>
      <c r="G44" s="73">
        <f t="shared" si="26"/>
        <v>0</v>
      </c>
      <c r="H44" s="73">
        <f t="shared" si="27"/>
        <v>0</v>
      </c>
      <c r="I44" s="75" t="str">
        <f t="shared" ref="I44:I45" si="28">TEXT(ROUND((M38-H38)/$C$27/5*100, 2), "0.00") &amp; "%"</f>
        <v>0.00%</v>
      </c>
      <c r="J44" s="7">
        <f>ROUND(($M38-$H38)/5, 2)</f>
        <v>0</v>
      </c>
      <c r="K44" s="73">
        <f t="shared" si="24"/>
        <v>0</v>
      </c>
      <c r="L44" s="73">
        <f t="shared" si="24"/>
        <v>0</v>
      </c>
      <c r="M44" s="73">
        <f t="shared" si="24"/>
        <v>0</v>
      </c>
      <c r="N44" s="12"/>
      <c r="O44" s="11" t="str">
        <f t="shared" ref="O44" si="29">TEXT(ROUND(M38/$C$27/10*100, 2), "0.00") &amp; "%"</f>
        <v>0.00%</v>
      </c>
    </row>
    <row r="45" spans="1:16" ht="15.85" customHeight="1" thickTop="1" thickBot="1" x14ac:dyDescent="0.5">
      <c r="A45" s="4"/>
      <c r="B45" s="115" t="s">
        <v>0</v>
      </c>
      <c r="C45" s="115"/>
      <c r="D45" s="75" t="str">
        <f>TEXT(ROUND(H39/$C$27/5*100, 2), "0.00") &amp; "%"</f>
        <v>26.32%</v>
      </c>
      <c r="E45" s="7">
        <f>ROUND($H39/5, 2)</f>
        <v>34217948.109999999</v>
      </c>
      <c r="F45" s="73">
        <f t="shared" si="25"/>
        <v>342179481.10000002</v>
      </c>
      <c r="G45" s="73">
        <f t="shared" si="26"/>
        <v>3421794811</v>
      </c>
      <c r="H45" s="73">
        <f t="shared" si="27"/>
        <v>34217948110</v>
      </c>
      <c r="I45" s="75" t="str">
        <f t="shared" si="28"/>
        <v>251.06%</v>
      </c>
      <c r="J45" s="7">
        <f>ROUND(($M39-$H39)/5, 2)</f>
        <v>326380841</v>
      </c>
      <c r="K45" s="73">
        <f t="shared" si="24"/>
        <v>3263808410</v>
      </c>
      <c r="L45" s="73">
        <f t="shared" si="24"/>
        <v>32638084100</v>
      </c>
      <c r="M45" s="73">
        <f t="shared" si="24"/>
        <v>326380841000</v>
      </c>
      <c r="N45" s="2"/>
      <c r="O45" s="20"/>
    </row>
    <row r="46" spans="1:16" ht="15.85" customHeight="1" thickTop="1" x14ac:dyDescent="0.45">
      <c r="B46" s="20"/>
      <c r="C46" s="27"/>
      <c r="D46" s="20"/>
      <c r="E46" s="20"/>
      <c r="F46" s="20"/>
      <c r="G46" s="20"/>
      <c r="H46" s="20"/>
      <c r="I46" s="20"/>
      <c r="J46" s="20"/>
      <c r="K46" s="20"/>
      <c r="L46" s="20"/>
      <c r="M46" s="20"/>
    </row>
  </sheetData>
  <mergeCells count="44">
    <mergeCell ref="B43:C43"/>
    <mergeCell ref="B44:C44"/>
    <mergeCell ref="B45:C45"/>
    <mergeCell ref="O7:O12"/>
    <mergeCell ref="O28:O33"/>
    <mergeCell ref="B25:C25"/>
    <mergeCell ref="K34:K35"/>
    <mergeCell ref="L34:L35"/>
    <mergeCell ref="M34:M35"/>
    <mergeCell ref="D6:M7"/>
    <mergeCell ref="C13:C14"/>
    <mergeCell ref="D13:D14"/>
    <mergeCell ref="E13:E14"/>
    <mergeCell ref="F13:F14"/>
    <mergeCell ref="B19:C20"/>
    <mergeCell ref="D40:H40"/>
    <mergeCell ref="I40:M40"/>
    <mergeCell ref="D27:M28"/>
    <mergeCell ref="B34:B35"/>
    <mergeCell ref="C34:C35"/>
    <mergeCell ref="D34:D35"/>
    <mergeCell ref="E34:E35"/>
    <mergeCell ref="F34:F35"/>
    <mergeCell ref="G34:G35"/>
    <mergeCell ref="H34:H35"/>
    <mergeCell ref="I34:I35"/>
    <mergeCell ref="J34:J35"/>
    <mergeCell ref="B40:C41"/>
    <mergeCell ref="B2:M4"/>
    <mergeCell ref="B42:C42"/>
    <mergeCell ref="B21:C21"/>
    <mergeCell ref="B22:C22"/>
    <mergeCell ref="B23:C23"/>
    <mergeCell ref="B24:C24"/>
    <mergeCell ref="M13:M14"/>
    <mergeCell ref="D19:H19"/>
    <mergeCell ref="I19:M19"/>
    <mergeCell ref="J13:J14"/>
    <mergeCell ref="K13:K14"/>
    <mergeCell ref="L13:L14"/>
    <mergeCell ref="G13:G14"/>
    <mergeCell ref="H13:H14"/>
    <mergeCell ref="I13:I14"/>
    <mergeCell ref="B13:B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7256-C745-4088-A450-CDC0348C8D9C}">
  <dimension ref="A1:P46"/>
  <sheetViews>
    <sheetView zoomScaleNormal="100" workbookViewId="0">
      <selection activeCell="B2" sqref="B2:M4"/>
    </sheetView>
  </sheetViews>
  <sheetFormatPr defaultRowHeight="15.85" customHeight="1" x14ac:dyDescent="0.45"/>
  <cols>
    <col min="1" max="1" width="1.6640625" style="1" customWidth="1"/>
    <col min="2" max="2" width="38.46484375" style="1" customWidth="1"/>
    <col min="3" max="3" width="12.1328125" style="25" customWidth="1"/>
    <col min="4" max="13" width="15.33203125" style="1" customWidth="1"/>
    <col min="14" max="14" width="1.6640625" style="1" customWidth="1"/>
    <col min="15" max="15" width="29.33203125" style="1" customWidth="1"/>
    <col min="16" max="16" width="1.53125" style="1" customWidth="1"/>
    <col min="17" max="16384" width="9.06640625" style="1"/>
  </cols>
  <sheetData>
    <row r="1" spans="1:16" ht="9.4" customHeight="1" thickBot="1" x14ac:dyDescent="0.5">
      <c r="B1" s="9"/>
      <c r="C1" s="24"/>
      <c r="D1" s="10"/>
      <c r="E1" s="10"/>
      <c r="F1" s="10"/>
      <c r="G1" s="10"/>
      <c r="H1" s="10"/>
      <c r="I1" s="10"/>
      <c r="J1" s="10"/>
      <c r="K1" s="10"/>
      <c r="L1" s="10"/>
      <c r="M1" s="9"/>
    </row>
    <row r="2" spans="1:16" ht="15.85" customHeight="1" thickTop="1" thickBot="1" x14ac:dyDescent="0.5">
      <c r="A2" s="4"/>
      <c r="B2" s="101" t="s">
        <v>55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2"/>
      <c r="O2" s="13">
        <v>45894</v>
      </c>
    </row>
    <row r="3" spans="1:16" ht="15.85" customHeight="1" thickTop="1" thickBot="1" x14ac:dyDescent="0.5">
      <c r="A3" s="4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2"/>
      <c r="O3" s="15" t="s">
        <v>25</v>
      </c>
    </row>
    <row r="4" spans="1:16" ht="15.85" customHeight="1" thickTop="1" thickBot="1" x14ac:dyDescent="0.5">
      <c r="A4" s="4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2"/>
      <c r="O4" s="15"/>
    </row>
    <row r="5" spans="1:16" ht="15.85" customHeight="1" thickTop="1" thickBot="1" x14ac:dyDescent="0.5">
      <c r="A5" s="4"/>
      <c r="B5" s="10"/>
      <c r="C5" s="35"/>
      <c r="D5" s="10"/>
      <c r="E5" s="10"/>
      <c r="F5" s="10"/>
      <c r="G5" s="10"/>
      <c r="H5" s="10"/>
      <c r="I5" s="10"/>
      <c r="J5" s="10"/>
      <c r="K5" s="10"/>
      <c r="L5" s="10"/>
      <c r="M5" s="10"/>
      <c r="N5" s="2"/>
      <c r="O5" s="9"/>
    </row>
    <row r="6" spans="1:16" ht="15.85" customHeight="1" thickTop="1" thickBot="1" x14ac:dyDescent="0.5">
      <c r="A6" s="4"/>
      <c r="B6" s="6" t="s">
        <v>24</v>
      </c>
      <c r="C6" s="7">
        <f>C7*100000</f>
        <v>10000000</v>
      </c>
      <c r="D6" s="102" t="str">
        <f>"2025 - 2035 : "&amp;$C8*100&amp;"% " &amp; B8</f>
        <v>2025 - 2035 : 60% LQWD 10Y CAGR</v>
      </c>
      <c r="E6" s="102"/>
      <c r="F6" s="102"/>
      <c r="G6" s="102"/>
      <c r="H6" s="102"/>
      <c r="I6" s="102"/>
      <c r="J6" s="102"/>
      <c r="K6" s="102"/>
      <c r="L6" s="102"/>
      <c r="M6" s="102"/>
      <c r="N6" s="12"/>
      <c r="O6" s="80">
        <v>100000</v>
      </c>
      <c r="P6" s="2"/>
    </row>
    <row r="7" spans="1:16" ht="15.75" customHeight="1" thickTop="1" thickBot="1" x14ac:dyDescent="0.5">
      <c r="A7" s="4"/>
      <c r="B7" s="6" t="s">
        <v>3</v>
      </c>
      <c r="C7" s="11">
        <v>100</v>
      </c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2"/>
      <c r="O7" s="118" t="s">
        <v>51</v>
      </c>
      <c r="P7" s="2"/>
    </row>
    <row r="8" spans="1:16" ht="15.85" customHeight="1" thickTop="1" thickBot="1" x14ac:dyDescent="0.5">
      <c r="A8" s="4"/>
      <c r="B8" s="6" t="s">
        <v>61</v>
      </c>
      <c r="C8" s="16">
        <v>0.6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  <c r="N8" s="12"/>
      <c r="O8" s="118"/>
      <c r="P8" s="2"/>
    </row>
    <row r="9" spans="1:16" ht="15.85" customHeight="1" thickTop="1" thickBot="1" x14ac:dyDescent="0.5">
      <c r="A9" s="4"/>
      <c r="B9" s="6" t="s">
        <v>60</v>
      </c>
      <c r="C9" s="72">
        <v>1.25</v>
      </c>
      <c r="D9" s="72">
        <f>C9*C8+C9</f>
        <v>2</v>
      </c>
      <c r="E9" s="72">
        <f>D9*C8+D9</f>
        <v>3.2</v>
      </c>
      <c r="F9" s="72">
        <f>E9*C8+E9</f>
        <v>5.12</v>
      </c>
      <c r="G9" s="72">
        <f>F9*C8+F9</f>
        <v>8.1920000000000002</v>
      </c>
      <c r="H9" s="72">
        <f>G9*C8+G9</f>
        <v>13.107199999999999</v>
      </c>
      <c r="I9" s="72">
        <f>H9*C8+H9</f>
        <v>20.971519999999998</v>
      </c>
      <c r="J9" s="72">
        <f>I9*C8+I9</f>
        <v>33.554431999999998</v>
      </c>
      <c r="K9" s="72">
        <f>J9*C8+J9</f>
        <v>53.687091199999998</v>
      </c>
      <c r="L9" s="72">
        <f>K9*C8+K9</f>
        <v>85.899345920000002</v>
      </c>
      <c r="M9" s="72">
        <f>L9*C8+L9</f>
        <v>137.43895347200001</v>
      </c>
      <c r="N9" s="12"/>
      <c r="O9" s="118"/>
      <c r="P9" s="2"/>
    </row>
    <row r="10" spans="1:16" ht="15.85" customHeight="1" thickTop="1" thickBot="1" x14ac:dyDescent="0.5">
      <c r="A10" s="4"/>
      <c r="B10" s="6" t="s">
        <v>59</v>
      </c>
      <c r="C10" s="7">
        <f t="shared" ref="C10:M10" si="0">C9*C12</f>
        <v>43301413.75</v>
      </c>
      <c r="D10" s="7">
        <f t="shared" si="0"/>
        <v>69975084.620000005</v>
      </c>
      <c r="E10" s="7">
        <f t="shared" si="0"/>
        <v>113079736.74592002</v>
      </c>
      <c r="F10" s="7">
        <f t="shared" si="0"/>
        <v>182736854.58140674</v>
      </c>
      <c r="G10" s="7">
        <f t="shared" si="0"/>
        <v>295302757.00355327</v>
      </c>
      <c r="H10" s="7">
        <f t="shared" si="0"/>
        <v>477209255.31774205</v>
      </c>
      <c r="I10" s="73">
        <f t="shared" si="0"/>
        <v>771170156.59347117</v>
      </c>
      <c r="J10" s="73">
        <f t="shared" si="0"/>
        <v>1246210973.0550494</v>
      </c>
      <c r="K10" s="73">
        <f t="shared" si="0"/>
        <v>2013876932.45696</v>
      </c>
      <c r="L10" s="73">
        <f t="shared" si="0"/>
        <v>3254425122.8504477</v>
      </c>
      <c r="M10" s="73">
        <f t="shared" si="0"/>
        <v>5259150998.5263233</v>
      </c>
      <c r="N10" s="12"/>
      <c r="O10" s="118"/>
      <c r="P10" s="2"/>
    </row>
    <row r="11" spans="1:16" ht="14.25" customHeight="1" thickTop="1" thickBot="1" x14ac:dyDescent="0.5">
      <c r="A11" s="4"/>
      <c r="B11" s="76" t="s">
        <v>62</v>
      </c>
      <c r="C11" s="74">
        <f>C7*0.0001</f>
        <v>0.01</v>
      </c>
      <c r="D11" s="14">
        <f>$C11 * C12</f>
        <v>346411.31</v>
      </c>
      <c r="E11" s="14">
        <f t="shared" ref="E11:M11" si="1">$C11 * D12</f>
        <v>349875.42310000001</v>
      </c>
      <c r="F11" s="14">
        <f t="shared" si="1"/>
        <v>353374.17733100004</v>
      </c>
      <c r="G11" s="14">
        <f t="shared" si="1"/>
        <v>356907.91910431004</v>
      </c>
      <c r="H11" s="14">
        <f t="shared" si="1"/>
        <v>360476.99829535314</v>
      </c>
      <c r="I11" s="14">
        <f t="shared" si="1"/>
        <v>364081.76827830664</v>
      </c>
      <c r="J11" s="14">
        <f t="shared" si="1"/>
        <v>367722.58596108976</v>
      </c>
      <c r="K11" s="14">
        <f t="shared" si="1"/>
        <v>371399.81182070065</v>
      </c>
      <c r="L11" s="14">
        <f t="shared" si="1"/>
        <v>375113.80993890762</v>
      </c>
      <c r="M11" s="14">
        <f t="shared" si="1"/>
        <v>378864.94803829672</v>
      </c>
      <c r="N11" s="12"/>
      <c r="O11" s="118"/>
      <c r="P11" s="2"/>
    </row>
    <row r="12" spans="1:16" ht="15.85" customHeight="1" thickTop="1" thickBot="1" x14ac:dyDescent="0.5">
      <c r="A12" s="4"/>
      <c r="B12" s="6" t="s">
        <v>63</v>
      </c>
      <c r="C12" s="14">
        <v>34641131</v>
      </c>
      <c r="D12" s="14">
        <f>C12+D11</f>
        <v>34987542.310000002</v>
      </c>
      <c r="E12" s="14">
        <f t="shared" ref="E12:M12" si="2">D12+E11</f>
        <v>35337417.733100004</v>
      </c>
      <c r="F12" s="14">
        <f t="shared" si="2"/>
        <v>35690791.910431005</v>
      </c>
      <c r="G12" s="14">
        <f t="shared" si="2"/>
        <v>36047699.829535313</v>
      </c>
      <c r="H12" s="14">
        <f t="shared" si="2"/>
        <v>36408176.827830665</v>
      </c>
      <c r="I12" s="14">
        <f t="shared" si="2"/>
        <v>36772258.596108973</v>
      </c>
      <c r="J12" s="14">
        <f t="shared" si="2"/>
        <v>37139981.182070062</v>
      </c>
      <c r="K12" s="14">
        <f t="shared" si="2"/>
        <v>37511380.993890762</v>
      </c>
      <c r="L12" s="14">
        <f t="shared" si="2"/>
        <v>37886494.80382967</v>
      </c>
      <c r="M12" s="14">
        <f t="shared" si="2"/>
        <v>38265359.751867965</v>
      </c>
      <c r="N12" s="12"/>
      <c r="O12" s="118"/>
      <c r="P12" s="2"/>
    </row>
    <row r="13" spans="1:16" ht="15.85" customHeight="1" thickTop="1" thickBot="1" x14ac:dyDescent="0.5">
      <c r="A13" s="4"/>
      <c r="B13" s="113" t="s">
        <v>17</v>
      </c>
      <c r="C13" s="112" t="s">
        <v>22</v>
      </c>
      <c r="D13" s="106" t="s">
        <v>58</v>
      </c>
      <c r="E13" s="106" t="s">
        <v>58</v>
      </c>
      <c r="F13" s="106" t="s">
        <v>58</v>
      </c>
      <c r="G13" s="106" t="s">
        <v>58</v>
      </c>
      <c r="H13" s="106" t="s">
        <v>58</v>
      </c>
      <c r="I13" s="106" t="s">
        <v>58</v>
      </c>
      <c r="J13" s="106" t="s">
        <v>58</v>
      </c>
      <c r="K13" s="106" t="s">
        <v>58</v>
      </c>
      <c r="L13" s="106" t="s">
        <v>58</v>
      </c>
      <c r="M13" s="106" t="s">
        <v>58</v>
      </c>
      <c r="N13" s="2"/>
      <c r="O13" s="20"/>
    </row>
    <row r="14" spans="1:16" ht="15.85" customHeight="1" thickTop="1" thickBot="1" x14ac:dyDescent="0.5">
      <c r="A14" s="4"/>
      <c r="B14" s="113"/>
      <c r="C14" s="112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2"/>
    </row>
    <row r="15" spans="1:16" ht="15.85" customHeight="1" thickTop="1" thickBot="1" x14ac:dyDescent="0.5">
      <c r="A15" s="4"/>
      <c r="B15" s="6" t="s">
        <v>56</v>
      </c>
      <c r="C15" s="19">
        <v>0.3</v>
      </c>
      <c r="D15" s="7">
        <f>$C15*D$9*D$11</f>
        <v>207846.78599999999</v>
      </c>
      <c r="E15" s="7">
        <f t="shared" ref="E15:M15" si="3">$C15*E$9*E$11</f>
        <v>335880.40617600002</v>
      </c>
      <c r="F15" s="7">
        <f t="shared" si="3"/>
        <v>542782.73638041609</v>
      </c>
      <c r="G15" s="7">
        <f t="shared" si="3"/>
        <v>877136.90199075232</v>
      </c>
      <c r="H15" s="7">
        <f t="shared" si="3"/>
        <v>1417453.2336170557</v>
      </c>
      <c r="I15" s="7">
        <f t="shared" si="3"/>
        <v>2290604.4255251619</v>
      </c>
      <c r="J15" s="7">
        <f t="shared" si="3"/>
        <v>3701616.7516486621</v>
      </c>
      <c r="K15" s="7">
        <f t="shared" si="3"/>
        <v>5981812.6706642378</v>
      </c>
      <c r="L15" s="7">
        <f t="shared" si="3"/>
        <v>9666609.2757934071</v>
      </c>
      <c r="M15" s="7">
        <f t="shared" si="3"/>
        <v>15621240.589682149</v>
      </c>
      <c r="N15" s="2"/>
    </row>
    <row r="16" spans="1:16" ht="15.85" customHeight="1" thickTop="1" thickBot="1" x14ac:dyDescent="0.5">
      <c r="A16" s="4"/>
      <c r="B16" s="6" t="s">
        <v>1</v>
      </c>
      <c r="C16" s="19">
        <v>0.7</v>
      </c>
      <c r="D16" s="7">
        <f t="shared" ref="D16:M18" si="4">$C16*D$9*D$11</f>
        <v>484975.83399999997</v>
      </c>
      <c r="E16" s="7">
        <f t="shared" si="4"/>
        <v>783720.947744</v>
      </c>
      <c r="F16" s="7">
        <f t="shared" si="4"/>
        <v>1266493.0515543041</v>
      </c>
      <c r="G16" s="7">
        <f t="shared" si="4"/>
        <v>2046652.7713117555</v>
      </c>
      <c r="H16" s="7">
        <f t="shared" si="4"/>
        <v>3307390.8784397966</v>
      </c>
      <c r="I16" s="7">
        <f t="shared" si="4"/>
        <v>5344743.6595587106</v>
      </c>
      <c r="J16" s="7">
        <f t="shared" si="4"/>
        <v>8637105.7538468782</v>
      </c>
      <c r="K16" s="7">
        <f t="shared" si="4"/>
        <v>13957562.898216553</v>
      </c>
      <c r="L16" s="7">
        <f t="shared" si="4"/>
        <v>22555421.643517952</v>
      </c>
      <c r="M16" s="7">
        <f t="shared" si="4"/>
        <v>36449561.375925012</v>
      </c>
      <c r="N16" s="2"/>
    </row>
    <row r="17" spans="1:16" ht="15.85" customHeight="1" thickTop="1" thickBot="1" x14ac:dyDescent="0.5">
      <c r="A17" s="4"/>
      <c r="B17" s="6" t="s">
        <v>2</v>
      </c>
      <c r="C17" s="19">
        <v>0</v>
      </c>
      <c r="D17" s="7">
        <f t="shared" si="4"/>
        <v>0</v>
      </c>
      <c r="E17" s="7">
        <f t="shared" si="4"/>
        <v>0</v>
      </c>
      <c r="F17" s="7">
        <f t="shared" si="4"/>
        <v>0</v>
      </c>
      <c r="G17" s="7">
        <f t="shared" si="4"/>
        <v>0</v>
      </c>
      <c r="H17" s="7">
        <f t="shared" si="4"/>
        <v>0</v>
      </c>
      <c r="I17" s="7">
        <f t="shared" si="4"/>
        <v>0</v>
      </c>
      <c r="J17" s="7">
        <f t="shared" si="4"/>
        <v>0</v>
      </c>
      <c r="K17" s="7">
        <f t="shared" si="4"/>
        <v>0</v>
      </c>
      <c r="L17" s="7">
        <f t="shared" si="4"/>
        <v>0</v>
      </c>
      <c r="M17" s="7">
        <f t="shared" si="4"/>
        <v>0</v>
      </c>
      <c r="N17" s="2"/>
    </row>
    <row r="18" spans="1:16" ht="15.85" customHeight="1" thickTop="1" thickBot="1" x14ac:dyDescent="0.5">
      <c r="A18" s="4"/>
      <c r="B18" s="6" t="s">
        <v>0</v>
      </c>
      <c r="C18" s="19">
        <f>SUM(C15:C17)</f>
        <v>1</v>
      </c>
      <c r="D18" s="7">
        <f t="shared" si="4"/>
        <v>692822.62</v>
      </c>
      <c r="E18" s="7">
        <f t="shared" si="4"/>
        <v>1119601.3539200001</v>
      </c>
      <c r="F18" s="7">
        <f t="shared" si="4"/>
        <v>1809275.7879347203</v>
      </c>
      <c r="G18" s="7">
        <f t="shared" si="4"/>
        <v>2923789.673302508</v>
      </c>
      <c r="H18" s="7">
        <f t="shared" si="4"/>
        <v>4724844.1120568523</v>
      </c>
      <c r="I18" s="7">
        <f t="shared" si="4"/>
        <v>7635348.085083873</v>
      </c>
      <c r="J18" s="7">
        <f t="shared" si="4"/>
        <v>12338722.505495541</v>
      </c>
      <c r="K18" s="7">
        <f t="shared" si="4"/>
        <v>19939375.568880793</v>
      </c>
      <c r="L18" s="7">
        <f t="shared" si="4"/>
        <v>32222030.91931136</v>
      </c>
      <c r="M18" s="7">
        <f t="shared" si="4"/>
        <v>52070801.965607166</v>
      </c>
      <c r="N18" s="2"/>
      <c r="O18" s="9"/>
    </row>
    <row r="19" spans="1:16" ht="15.85" customHeight="1" thickTop="1" thickBot="1" x14ac:dyDescent="0.5">
      <c r="A19" s="4"/>
      <c r="B19" s="119" t="s">
        <v>40</v>
      </c>
      <c r="C19" s="120"/>
      <c r="D19" s="114" t="s">
        <v>16</v>
      </c>
      <c r="E19" s="114"/>
      <c r="F19" s="114"/>
      <c r="G19" s="114"/>
      <c r="H19" s="114"/>
      <c r="I19" s="114" t="s">
        <v>42</v>
      </c>
      <c r="J19" s="114"/>
      <c r="K19" s="114"/>
      <c r="L19" s="114"/>
      <c r="M19" s="114"/>
      <c r="N19" s="12"/>
      <c r="O19" s="8" t="s">
        <v>27</v>
      </c>
    </row>
    <row r="20" spans="1:16" ht="15.85" customHeight="1" thickTop="1" thickBot="1" x14ac:dyDescent="0.5">
      <c r="A20" s="4"/>
      <c r="B20" s="121"/>
      <c r="C20" s="122"/>
      <c r="D20" s="5" t="s">
        <v>26</v>
      </c>
      <c r="E20" s="5" t="s">
        <v>19</v>
      </c>
      <c r="F20" s="5" t="s">
        <v>66</v>
      </c>
      <c r="G20" s="5" t="s">
        <v>65</v>
      </c>
      <c r="H20" s="5" t="s">
        <v>64</v>
      </c>
      <c r="I20" s="5" t="s">
        <v>26</v>
      </c>
      <c r="J20" s="5" t="s">
        <v>19</v>
      </c>
      <c r="K20" s="5" t="s">
        <v>66</v>
      </c>
      <c r="L20" s="5" t="s">
        <v>65</v>
      </c>
      <c r="M20" s="5" t="s">
        <v>64</v>
      </c>
      <c r="N20" s="12"/>
      <c r="O20" s="82" t="s">
        <v>41</v>
      </c>
    </row>
    <row r="21" spans="1:16" ht="15.85" customHeight="1" thickTop="1" thickBot="1" x14ac:dyDescent="0.5">
      <c r="A21" s="4"/>
      <c r="B21" s="115" t="s">
        <v>56</v>
      </c>
      <c r="C21" s="115"/>
      <c r="D21" s="75" t="str">
        <f>TEXT(ROUND(H15/$C$6/5*100, 2), "0.00") &amp; "%"</f>
        <v>2.83%</v>
      </c>
      <c r="E21" s="7">
        <f>ROUND($H15/5, 2)</f>
        <v>283490.65000000002</v>
      </c>
      <c r="F21" s="7">
        <f>$E21*10</f>
        <v>2834906.5</v>
      </c>
      <c r="G21" s="7">
        <f>$E21*100</f>
        <v>28349065.000000004</v>
      </c>
      <c r="H21" s="7">
        <f>$E21*1000</f>
        <v>283490650</v>
      </c>
      <c r="I21" s="75" t="str">
        <f>TEXT(ROUND((M15-H15)/$C$6/5*100, 2), "0.00") &amp; "%"</f>
        <v>28.41%</v>
      </c>
      <c r="J21" s="7">
        <f>ROUND(($M15-$H15)/5, 2)</f>
        <v>2840757.47</v>
      </c>
      <c r="K21" s="7">
        <f t="shared" ref="K21:M25" si="5">J21*10</f>
        <v>28407574.700000003</v>
      </c>
      <c r="L21" s="7">
        <f t="shared" si="5"/>
        <v>284075747</v>
      </c>
      <c r="M21" s="73">
        <f t="shared" si="5"/>
        <v>2840757470</v>
      </c>
      <c r="N21" s="12"/>
      <c r="O21" s="11" t="str">
        <f>TEXT(ROUND(M15/$C$6/10*100, 2), "0.00") &amp; "%"</f>
        <v>15.62%</v>
      </c>
    </row>
    <row r="22" spans="1:16" ht="15.85" customHeight="1" thickTop="1" thickBot="1" x14ac:dyDescent="0.5">
      <c r="A22" s="4"/>
      <c r="B22" s="115" t="s">
        <v>1</v>
      </c>
      <c r="C22" s="115"/>
      <c r="D22" s="75" t="str">
        <f>TEXT(ROUND(H16/$C$6/5*100, 2), "0.00") &amp; "%"</f>
        <v>6.61%</v>
      </c>
      <c r="E22" s="7">
        <f>ROUND($H16/5, 2)</f>
        <v>661478.18000000005</v>
      </c>
      <c r="F22" s="7">
        <f t="shared" ref="F22:F24" si="6">$E22*10</f>
        <v>6614781.8000000007</v>
      </c>
      <c r="G22" s="7">
        <f t="shared" ref="G22:G24" si="7">$E22*100</f>
        <v>66147818.000000007</v>
      </c>
      <c r="H22" s="7">
        <f t="shared" ref="H22:H24" si="8">$E22*1000</f>
        <v>661478180</v>
      </c>
      <c r="I22" s="75" t="str">
        <f>TEXT(ROUND((M16-H16)/$C$6/5*100, 2), "0.00") &amp; "%"</f>
        <v>66.28%</v>
      </c>
      <c r="J22" s="7">
        <f>ROUND(($M16-$H16)/5, 2)</f>
        <v>6628434.0999999996</v>
      </c>
      <c r="K22" s="7">
        <f t="shared" si="5"/>
        <v>66284341</v>
      </c>
      <c r="L22" s="7">
        <f t="shared" si="5"/>
        <v>662843410</v>
      </c>
      <c r="M22" s="73">
        <f t="shared" si="5"/>
        <v>6628434100</v>
      </c>
      <c r="N22" s="12"/>
      <c r="O22" s="11" t="str">
        <f>TEXT(ROUND(M16/$C$6/10*100, 2), "0.00") &amp; "%"</f>
        <v>36.45%</v>
      </c>
    </row>
    <row r="23" spans="1:16" ht="15.85" customHeight="1" thickTop="1" thickBot="1" x14ac:dyDescent="0.5">
      <c r="A23" s="4"/>
      <c r="B23" s="115" t="s">
        <v>2</v>
      </c>
      <c r="C23" s="115"/>
      <c r="D23" s="75" t="str">
        <f>TEXT(ROUND(H17/$C$6/5*100, 2), "0.00") &amp; "%"</f>
        <v>0.00%</v>
      </c>
      <c r="E23" s="7">
        <f>ROUND($H17/5, 2)</f>
        <v>0</v>
      </c>
      <c r="F23" s="7">
        <f t="shared" si="6"/>
        <v>0</v>
      </c>
      <c r="G23" s="7">
        <f t="shared" si="7"/>
        <v>0</v>
      </c>
      <c r="H23" s="7">
        <f t="shared" si="8"/>
        <v>0</v>
      </c>
      <c r="I23" s="75" t="str">
        <f>TEXT(ROUND((M17-H17)/$C$6/5*100, 2), "0.00") &amp; "%"</f>
        <v>0.00%</v>
      </c>
      <c r="J23" s="7">
        <f>ROUND(($M17-$H17)/5, 2)</f>
        <v>0</v>
      </c>
      <c r="K23" s="7">
        <f t="shared" si="5"/>
        <v>0</v>
      </c>
      <c r="L23" s="7">
        <f t="shared" si="5"/>
        <v>0</v>
      </c>
      <c r="M23" s="73">
        <f t="shared" si="5"/>
        <v>0</v>
      </c>
      <c r="N23" s="12"/>
      <c r="O23" s="11" t="str">
        <f>TEXT(ROUND(M17/$C$6/10*100, 2), "0.00") &amp; "%"</f>
        <v>0.00%</v>
      </c>
    </row>
    <row r="24" spans="1:16" ht="15.85" customHeight="1" thickTop="1" thickBot="1" x14ac:dyDescent="0.5">
      <c r="A24" s="4"/>
      <c r="B24" s="115" t="s">
        <v>0</v>
      </c>
      <c r="C24" s="115"/>
      <c r="D24" s="75" t="str">
        <f>TEXT(ROUND(H18/$C$6/5*100, 2), "0.00") &amp; "%"</f>
        <v>9.45%</v>
      </c>
      <c r="E24" s="7">
        <f>ROUND($H18/5, 2)</f>
        <v>944968.82</v>
      </c>
      <c r="F24" s="7">
        <f t="shared" si="6"/>
        <v>9449688.1999999993</v>
      </c>
      <c r="G24" s="7">
        <f t="shared" si="7"/>
        <v>94496882</v>
      </c>
      <c r="H24" s="7">
        <f t="shared" si="8"/>
        <v>944968820</v>
      </c>
      <c r="I24" s="75" t="str">
        <f>TEXT(ROUND((M18-H18)/$C$6/5*100, 2), "0.00") &amp; "%"</f>
        <v>94.69%</v>
      </c>
      <c r="J24" s="7">
        <f>ROUND(($M18-$H18)/5, 2)</f>
        <v>9469191.5700000003</v>
      </c>
      <c r="K24" s="7">
        <f t="shared" si="5"/>
        <v>94691915.700000003</v>
      </c>
      <c r="L24" s="7">
        <f t="shared" si="5"/>
        <v>946919157</v>
      </c>
      <c r="M24" s="73">
        <f t="shared" si="5"/>
        <v>9469191570</v>
      </c>
      <c r="N24" s="2"/>
      <c r="O24" s="20"/>
    </row>
    <row r="25" spans="1:16" ht="15.85" customHeight="1" thickTop="1" thickBot="1" x14ac:dyDescent="0.5">
      <c r="A25" s="4"/>
      <c r="B25" s="116" t="s">
        <v>63</v>
      </c>
      <c r="C25" s="117"/>
      <c r="D25" s="77"/>
      <c r="E25" s="14">
        <f>H12</f>
        <v>36408176.827830665</v>
      </c>
      <c r="F25" s="14">
        <f>E25*10</f>
        <v>364081768.27830666</v>
      </c>
      <c r="G25" s="79">
        <f t="shared" ref="G25:H25" si="9">F25*10</f>
        <v>3640817682.7830667</v>
      </c>
      <c r="H25" s="79">
        <f t="shared" si="9"/>
        <v>36408176827.830666</v>
      </c>
      <c r="I25" s="78"/>
      <c r="J25" s="14">
        <f>M12</f>
        <v>38265359.751867965</v>
      </c>
      <c r="K25" s="14">
        <f>J25*10</f>
        <v>382653597.51867962</v>
      </c>
      <c r="L25" s="79">
        <f t="shared" si="5"/>
        <v>3826535975.1867962</v>
      </c>
      <c r="M25" s="79">
        <f t="shared" si="5"/>
        <v>38265359751.867966</v>
      </c>
      <c r="N25" s="2"/>
      <c r="O25" s="10"/>
    </row>
    <row r="26" spans="1:16" ht="15.85" customHeight="1" thickTop="1" thickBot="1" x14ac:dyDescent="0.5">
      <c r="B26" s="10"/>
      <c r="C26" s="35"/>
      <c r="D26" s="10"/>
      <c r="E26" s="10"/>
      <c r="F26" s="10"/>
      <c r="G26" s="10"/>
      <c r="H26" s="10"/>
      <c r="I26" s="10"/>
      <c r="J26" s="10"/>
      <c r="K26" s="10"/>
      <c r="L26" s="10"/>
      <c r="M26" s="10"/>
      <c r="O26" s="9"/>
    </row>
    <row r="27" spans="1:16" ht="15.75" customHeight="1" thickTop="1" thickBot="1" x14ac:dyDescent="0.5">
      <c r="A27" s="4"/>
      <c r="B27" s="6" t="s">
        <v>24</v>
      </c>
      <c r="C27" s="7">
        <f>C28*1300000</f>
        <v>130000000</v>
      </c>
      <c r="D27" s="102" t="str">
        <f>"2035 - 2045 : "&amp;$C29*100&amp;"% " &amp; B29</f>
        <v>2035 - 2045 : 40% LQWD 10Y CAGR</v>
      </c>
      <c r="E27" s="102"/>
      <c r="F27" s="102"/>
      <c r="G27" s="102"/>
      <c r="H27" s="102"/>
      <c r="I27" s="102"/>
      <c r="J27" s="102"/>
      <c r="K27" s="102"/>
      <c r="L27" s="102"/>
      <c r="M27" s="102"/>
      <c r="N27" s="12"/>
      <c r="O27" s="80">
        <v>1300000</v>
      </c>
      <c r="P27" s="2"/>
    </row>
    <row r="28" spans="1:16" ht="15.85" customHeight="1" thickTop="1" thickBot="1" x14ac:dyDescent="0.5">
      <c r="A28" s="4"/>
      <c r="B28" s="6" t="s">
        <v>3</v>
      </c>
      <c r="C28" s="11">
        <v>100</v>
      </c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2"/>
      <c r="O28" s="118" t="s">
        <v>52</v>
      </c>
      <c r="P28" s="2"/>
    </row>
    <row r="29" spans="1:16" ht="15.85" customHeight="1" thickTop="1" thickBot="1" x14ac:dyDescent="0.5">
      <c r="A29" s="4"/>
      <c r="B29" s="6" t="s">
        <v>61</v>
      </c>
      <c r="C29" s="16">
        <v>0.4</v>
      </c>
      <c r="D29" s="5" t="s">
        <v>4</v>
      </c>
      <c r="E29" s="5" t="s">
        <v>5</v>
      </c>
      <c r="F29" s="5" t="s">
        <v>6</v>
      </c>
      <c r="G29" s="5" t="s">
        <v>7</v>
      </c>
      <c r="H29" s="5" t="s">
        <v>8</v>
      </c>
      <c r="I29" s="5" t="s">
        <v>9</v>
      </c>
      <c r="J29" s="5" t="s">
        <v>10</v>
      </c>
      <c r="K29" s="5" t="s">
        <v>11</v>
      </c>
      <c r="L29" s="5" t="s">
        <v>12</v>
      </c>
      <c r="M29" s="5" t="s">
        <v>13</v>
      </c>
      <c r="N29" s="12"/>
      <c r="O29" s="118"/>
      <c r="P29" s="2"/>
    </row>
    <row r="30" spans="1:16" ht="15.85" customHeight="1" thickTop="1" thickBot="1" x14ac:dyDescent="0.5">
      <c r="A30" s="4"/>
      <c r="B30" s="6" t="s">
        <v>60</v>
      </c>
      <c r="C30" s="72">
        <f>M9</f>
        <v>137.43895347200001</v>
      </c>
      <c r="D30" s="72">
        <f>C30*C29+C30</f>
        <v>192.41453486080002</v>
      </c>
      <c r="E30" s="72">
        <f>D30*C29+D30</f>
        <v>269.38034880512004</v>
      </c>
      <c r="F30" s="72">
        <f>E30*C29+E30</f>
        <v>377.13248832716806</v>
      </c>
      <c r="G30" s="72">
        <f>F30*C29+F30</f>
        <v>527.98548365803526</v>
      </c>
      <c r="H30" s="72">
        <f>G30*C29+G30</f>
        <v>739.17967712124937</v>
      </c>
      <c r="I30" s="72">
        <f>H30*C29+H30</f>
        <v>1034.8515479697492</v>
      </c>
      <c r="J30" s="72">
        <f>I30*C29+I30</f>
        <v>1448.7921671576489</v>
      </c>
      <c r="K30" s="72">
        <f>J30*C29+J30</f>
        <v>2028.3090340207086</v>
      </c>
      <c r="L30" s="72">
        <f>K30*C29+K30</f>
        <v>2839.6326476289923</v>
      </c>
      <c r="M30" s="72">
        <f>L30*C29+L30</f>
        <v>3975.4857066805894</v>
      </c>
      <c r="N30" s="12"/>
      <c r="O30" s="118"/>
      <c r="P30" s="2"/>
    </row>
    <row r="31" spans="1:16" ht="15.75" customHeight="1" thickTop="1" thickBot="1" x14ac:dyDescent="0.5">
      <c r="A31" s="4"/>
      <c r="B31" s="6" t="s">
        <v>59</v>
      </c>
      <c r="C31" s="73">
        <f t="shared" ref="C31:M31" si="10">C30*C33</f>
        <v>5259150998.5263233</v>
      </c>
      <c r="D31" s="73">
        <f t="shared" si="10"/>
        <v>7399625454.9265366</v>
      </c>
      <c r="E31" s="73">
        <f t="shared" si="10"/>
        <v>10411273015.081638</v>
      </c>
      <c r="F31" s="73">
        <f t="shared" si="10"/>
        <v>14648661132.219868</v>
      </c>
      <c r="G31" s="73">
        <f t="shared" si="10"/>
        <v>20610666213.033352</v>
      </c>
      <c r="H31" s="73">
        <f t="shared" si="10"/>
        <v>28999207361.737926</v>
      </c>
      <c r="I31" s="73">
        <f t="shared" si="10"/>
        <v>40801884757.965263</v>
      </c>
      <c r="J31" s="73">
        <f t="shared" si="10"/>
        <v>57408251854.45713</v>
      </c>
      <c r="K31" s="73">
        <f t="shared" si="10"/>
        <v>80773410359.221191</v>
      </c>
      <c r="L31" s="73">
        <f t="shared" si="10"/>
        <v>113648188375.42422</v>
      </c>
      <c r="M31" s="73">
        <f t="shared" si="10"/>
        <v>159903001044.22189</v>
      </c>
      <c r="N31" s="12"/>
      <c r="O31" s="118"/>
      <c r="P31" s="2"/>
    </row>
    <row r="32" spans="1:16" ht="14.25" customHeight="1" thickTop="1" thickBot="1" x14ac:dyDescent="0.5">
      <c r="A32" s="4"/>
      <c r="B32" s="76" t="s">
        <v>62</v>
      </c>
      <c r="C32" s="74">
        <f>C28*0.00005</f>
        <v>5.0000000000000001E-3</v>
      </c>
      <c r="D32" s="14">
        <f>$C32 * C33</f>
        <v>191326.79875933981</v>
      </c>
      <c r="E32" s="14">
        <f t="shared" ref="E32:M32" si="11">$C32 * D33</f>
        <v>192283.43275313653</v>
      </c>
      <c r="F32" s="14">
        <f t="shared" si="11"/>
        <v>193244.84991690223</v>
      </c>
      <c r="G32" s="14">
        <f t="shared" si="11"/>
        <v>194211.07416648674</v>
      </c>
      <c r="H32" s="14">
        <f t="shared" si="11"/>
        <v>195182.12953731918</v>
      </c>
      <c r="I32" s="14">
        <f t="shared" si="11"/>
        <v>196158.04018500578</v>
      </c>
      <c r="J32" s="14">
        <f t="shared" si="11"/>
        <v>197138.83038593081</v>
      </c>
      <c r="K32" s="14">
        <f t="shared" si="11"/>
        <v>198124.52453786044</v>
      </c>
      <c r="L32" s="14">
        <f t="shared" si="11"/>
        <v>199115.14716054976</v>
      </c>
      <c r="M32" s="14">
        <f t="shared" si="11"/>
        <v>200110.72289635253</v>
      </c>
      <c r="N32" s="12"/>
      <c r="O32" s="118"/>
      <c r="P32" s="2"/>
    </row>
    <row r="33" spans="1:16" ht="15.85" customHeight="1" thickTop="1" thickBot="1" x14ac:dyDescent="0.5">
      <c r="A33" s="4"/>
      <c r="B33" s="6" t="s">
        <v>63</v>
      </c>
      <c r="C33" s="14">
        <f>M12</f>
        <v>38265359.751867965</v>
      </c>
      <c r="D33" s="14">
        <f>C33+D32</f>
        <v>38456686.550627306</v>
      </c>
      <c r="E33" s="14">
        <f t="shared" ref="E33:M33" si="12">D33+E32</f>
        <v>38648969.983380444</v>
      </c>
      <c r="F33" s="14">
        <f t="shared" si="12"/>
        <v>38842214.83329735</v>
      </c>
      <c r="G33" s="14">
        <f t="shared" si="12"/>
        <v>39036425.907463834</v>
      </c>
      <c r="H33" s="14">
        <f t="shared" si="12"/>
        <v>39231608.037001155</v>
      </c>
      <c r="I33" s="14">
        <f t="shared" si="12"/>
        <v>39427766.07718616</v>
      </c>
      <c r="J33" s="14">
        <f t="shared" si="12"/>
        <v>39624904.907572091</v>
      </c>
      <c r="K33" s="14">
        <f t="shared" si="12"/>
        <v>39823029.432109952</v>
      </c>
      <c r="L33" s="14">
        <f t="shared" si="12"/>
        <v>40022144.579270504</v>
      </c>
      <c r="M33" s="14">
        <f t="shared" si="12"/>
        <v>40222255.302166857</v>
      </c>
      <c r="N33" s="12"/>
      <c r="O33" s="118"/>
      <c r="P33" s="2"/>
    </row>
    <row r="34" spans="1:16" ht="15.85" customHeight="1" thickTop="1" thickBot="1" x14ac:dyDescent="0.5">
      <c r="A34" s="4"/>
      <c r="B34" s="113" t="s">
        <v>17</v>
      </c>
      <c r="C34" s="112" t="s">
        <v>22</v>
      </c>
      <c r="D34" s="103" t="s">
        <v>58</v>
      </c>
      <c r="E34" s="103" t="s">
        <v>58</v>
      </c>
      <c r="F34" s="103" t="s">
        <v>58</v>
      </c>
      <c r="G34" s="103" t="s">
        <v>58</v>
      </c>
      <c r="H34" s="103" t="s">
        <v>58</v>
      </c>
      <c r="I34" s="103" t="s">
        <v>58</v>
      </c>
      <c r="J34" s="103" t="s">
        <v>58</v>
      </c>
      <c r="K34" s="103" t="s">
        <v>58</v>
      </c>
      <c r="L34" s="103" t="s">
        <v>58</v>
      </c>
      <c r="M34" s="103" t="s">
        <v>58</v>
      </c>
      <c r="N34" s="2"/>
      <c r="O34" s="20"/>
    </row>
    <row r="35" spans="1:16" ht="15.85" customHeight="1" thickTop="1" thickBot="1" x14ac:dyDescent="0.5">
      <c r="A35" s="4"/>
      <c r="B35" s="113"/>
      <c r="C35" s="112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2"/>
    </row>
    <row r="36" spans="1:16" ht="15.85" customHeight="1" thickTop="1" thickBot="1" x14ac:dyDescent="0.5">
      <c r="A36" s="4"/>
      <c r="B36" s="6" t="s">
        <v>56</v>
      </c>
      <c r="C36" s="19">
        <v>0.3</v>
      </c>
      <c r="D36" s="7">
        <f>$C36*D$30*D$32</f>
        <v>11044217.096905276</v>
      </c>
      <c r="E36" s="7">
        <f t="shared" ref="E36:M36" si="13">$C36*E$30*E$32</f>
        <v>15539213.455345728</v>
      </c>
      <c r="F36" s="7">
        <f t="shared" si="13"/>
        <v>21863673.331671443</v>
      </c>
      <c r="G36" s="7">
        <f t="shared" si="13"/>
        <v>30762188.377661716</v>
      </c>
      <c r="H36" s="7">
        <f t="shared" si="13"/>
        <v>43282399.047370039</v>
      </c>
      <c r="I36" s="7">
        <f t="shared" si="13"/>
        <v>60898335.459649652</v>
      </c>
      <c r="J36" s="7">
        <f t="shared" si="13"/>
        <v>85683957.991727054</v>
      </c>
      <c r="K36" s="7">
        <f t="shared" si="13"/>
        <v>120557328.89435996</v>
      </c>
      <c r="L36" s="7">
        <f t="shared" si="13"/>
        <v>169624161.75436449</v>
      </c>
      <c r="M36" s="7">
        <f t="shared" si="13"/>
        <v>238661195.58839089</v>
      </c>
      <c r="N36" s="2"/>
    </row>
    <row r="37" spans="1:16" ht="15.75" customHeight="1" thickTop="1" thickBot="1" x14ac:dyDescent="0.5">
      <c r="A37" s="4"/>
      <c r="B37" s="6" t="s">
        <v>1</v>
      </c>
      <c r="C37" s="19">
        <v>0.7</v>
      </c>
      <c r="D37" s="7">
        <f t="shared" ref="D37:M39" si="14">$C37*D$30*D$32</f>
        <v>25769839.892778978</v>
      </c>
      <c r="E37" s="7">
        <f t="shared" si="14"/>
        <v>36258164.729140028</v>
      </c>
      <c r="F37" s="7">
        <f t="shared" si="14"/>
        <v>51015237.773900032</v>
      </c>
      <c r="G37" s="7">
        <f t="shared" si="14"/>
        <v>71778439.547877342</v>
      </c>
      <c r="H37" s="7">
        <f t="shared" si="14"/>
        <v>100992264.44386342</v>
      </c>
      <c r="I37" s="7">
        <f t="shared" si="14"/>
        <v>142096116.07251585</v>
      </c>
      <c r="J37" s="7">
        <f t="shared" si="14"/>
        <v>199929235.31402978</v>
      </c>
      <c r="K37" s="7">
        <f t="shared" si="14"/>
        <v>281300434.08683991</v>
      </c>
      <c r="L37" s="7">
        <f t="shared" si="14"/>
        <v>395789710.76018381</v>
      </c>
      <c r="M37" s="7">
        <f t="shared" si="14"/>
        <v>556876123.03957868</v>
      </c>
      <c r="N37" s="2"/>
    </row>
    <row r="38" spans="1:16" ht="15.85" customHeight="1" thickTop="1" thickBot="1" x14ac:dyDescent="0.5">
      <c r="A38" s="4"/>
      <c r="B38" s="6" t="s">
        <v>2</v>
      </c>
      <c r="C38" s="19">
        <v>0</v>
      </c>
      <c r="D38" s="7">
        <f t="shared" si="14"/>
        <v>0</v>
      </c>
      <c r="E38" s="7">
        <f t="shared" si="14"/>
        <v>0</v>
      </c>
      <c r="F38" s="7">
        <f t="shared" si="14"/>
        <v>0</v>
      </c>
      <c r="G38" s="7">
        <f t="shared" si="14"/>
        <v>0</v>
      </c>
      <c r="H38" s="7">
        <f t="shared" si="14"/>
        <v>0</v>
      </c>
      <c r="I38" s="7">
        <f t="shared" si="14"/>
        <v>0</v>
      </c>
      <c r="J38" s="7">
        <f t="shared" si="14"/>
        <v>0</v>
      </c>
      <c r="K38" s="7">
        <f t="shared" si="14"/>
        <v>0</v>
      </c>
      <c r="L38" s="7">
        <f t="shared" si="14"/>
        <v>0</v>
      </c>
      <c r="M38" s="7">
        <f t="shared" si="14"/>
        <v>0</v>
      </c>
      <c r="N38" s="2"/>
    </row>
    <row r="39" spans="1:16" ht="15.85" customHeight="1" thickTop="1" thickBot="1" x14ac:dyDescent="0.5">
      <c r="A39" s="4"/>
      <c r="B39" s="6" t="s">
        <v>0</v>
      </c>
      <c r="C39" s="19">
        <f>SUM(C36:C38)</f>
        <v>1</v>
      </c>
      <c r="D39" s="7">
        <f t="shared" si="14"/>
        <v>36814056.989684261</v>
      </c>
      <c r="E39" s="7">
        <f t="shared" si="14"/>
        <v>51797378.184485763</v>
      </c>
      <c r="F39" s="7">
        <f t="shared" si="14"/>
        <v>72878911.105571479</v>
      </c>
      <c r="G39" s="7">
        <f t="shared" si="14"/>
        <v>102540627.92553906</v>
      </c>
      <c r="H39" s="7">
        <f t="shared" si="14"/>
        <v>144274663.49123347</v>
      </c>
      <c r="I39" s="7">
        <f t="shared" si="14"/>
        <v>202994451.5321655</v>
      </c>
      <c r="J39" s="7">
        <f t="shared" si="14"/>
        <v>285613193.30575687</v>
      </c>
      <c r="K39" s="7">
        <f t="shared" si="14"/>
        <v>401857762.98119992</v>
      </c>
      <c r="L39" s="7">
        <f t="shared" si="14"/>
        <v>565413872.51454842</v>
      </c>
      <c r="M39" s="7">
        <f t="shared" si="14"/>
        <v>795537318.62796962</v>
      </c>
      <c r="N39" s="2"/>
      <c r="O39" s="9"/>
    </row>
    <row r="40" spans="1:16" ht="15.85" customHeight="1" thickTop="1" thickBot="1" x14ac:dyDescent="0.5">
      <c r="A40" s="4"/>
      <c r="B40" s="119" t="s">
        <v>40</v>
      </c>
      <c r="C40" s="120"/>
      <c r="D40" s="114" t="s">
        <v>23</v>
      </c>
      <c r="E40" s="114"/>
      <c r="F40" s="114"/>
      <c r="G40" s="114"/>
      <c r="H40" s="114"/>
      <c r="I40" s="114" t="s">
        <v>43</v>
      </c>
      <c r="J40" s="114"/>
      <c r="K40" s="114"/>
      <c r="L40" s="114"/>
      <c r="M40" s="114"/>
      <c r="N40" s="12"/>
      <c r="O40" s="8" t="s">
        <v>28</v>
      </c>
    </row>
    <row r="41" spans="1:16" ht="15.85" customHeight="1" thickTop="1" thickBot="1" x14ac:dyDescent="0.5">
      <c r="A41" s="4"/>
      <c r="B41" s="121"/>
      <c r="C41" s="122"/>
      <c r="D41" s="5" t="s">
        <v>26</v>
      </c>
      <c r="E41" s="5" t="s">
        <v>19</v>
      </c>
      <c r="F41" s="5" t="s">
        <v>66</v>
      </c>
      <c r="G41" s="5" t="s">
        <v>65</v>
      </c>
      <c r="H41" s="5" t="s">
        <v>64</v>
      </c>
      <c r="I41" s="5" t="s">
        <v>26</v>
      </c>
      <c r="J41" s="5" t="s">
        <v>19</v>
      </c>
      <c r="K41" s="5" t="s">
        <v>66</v>
      </c>
      <c r="L41" s="5" t="s">
        <v>65</v>
      </c>
      <c r="M41" s="5" t="s">
        <v>64</v>
      </c>
      <c r="N41" s="12"/>
      <c r="O41" s="81" t="s">
        <v>41</v>
      </c>
    </row>
    <row r="42" spans="1:16" s="3" customFormat="1" ht="15.85" customHeight="1" thickTop="1" thickBot="1" x14ac:dyDescent="0.5">
      <c r="A42" s="4"/>
      <c r="B42" s="115" t="s">
        <v>56</v>
      </c>
      <c r="C42" s="115"/>
      <c r="D42" s="75" t="str">
        <f>TEXT(ROUND(H36/$C$27/5*100, 2), "0.00") &amp; "%"</f>
        <v>6.66%</v>
      </c>
      <c r="E42" s="7">
        <f>ROUND($H36/5, 2)</f>
        <v>8656479.8100000005</v>
      </c>
      <c r="F42" s="73">
        <f>$E42*10</f>
        <v>86564798.100000009</v>
      </c>
      <c r="G42" s="73">
        <f>$E42*100</f>
        <v>865647981</v>
      </c>
      <c r="H42" s="73">
        <f>$E42*1000</f>
        <v>8656479810</v>
      </c>
      <c r="I42" s="75" t="str">
        <f>TEXT(ROUND((M36-H36)/$C$27/5*100, 2), "0.00") &amp; "%"</f>
        <v>30.06%</v>
      </c>
      <c r="J42" s="7">
        <f>ROUND(($M36-$H36)/5, 2)</f>
        <v>39075759.310000002</v>
      </c>
      <c r="K42" s="73">
        <f t="shared" ref="K42:M45" si="15">J42*10</f>
        <v>390757593.10000002</v>
      </c>
      <c r="L42" s="73">
        <f t="shared" si="15"/>
        <v>3907575931</v>
      </c>
      <c r="M42" s="73">
        <f t="shared" si="15"/>
        <v>39075759310</v>
      </c>
      <c r="N42" s="12"/>
      <c r="O42" s="11" t="str">
        <f>TEXT(ROUND(M36/$C$27/10*100, 2), "0.00") &amp; "%"</f>
        <v>18.36%</v>
      </c>
    </row>
    <row r="43" spans="1:16" ht="15.85" customHeight="1" thickTop="1" thickBot="1" x14ac:dyDescent="0.5">
      <c r="A43" s="4"/>
      <c r="B43" s="115" t="s">
        <v>1</v>
      </c>
      <c r="C43" s="115"/>
      <c r="D43" s="75" t="str">
        <f>TEXT(ROUND(H37/$C$27/5*100, 2), "0.00") &amp; "%"</f>
        <v>15.54%</v>
      </c>
      <c r="E43" s="7">
        <f>ROUND($H37/5, 2)</f>
        <v>20198452.890000001</v>
      </c>
      <c r="F43" s="73">
        <f t="shared" ref="F43:F45" si="16">$E43*10</f>
        <v>201984528.90000001</v>
      </c>
      <c r="G43" s="73">
        <f t="shared" ref="G43:G45" si="17">$E43*100</f>
        <v>2019845289</v>
      </c>
      <c r="H43" s="73">
        <f t="shared" ref="H43:H45" si="18">$E43*1000</f>
        <v>20198452890</v>
      </c>
      <c r="I43" s="75" t="str">
        <f t="shared" ref="I43:I45" si="19">TEXT(ROUND((M37-H37)/$C$27/5*100, 2), "0.00") &amp; "%"</f>
        <v>70.14%</v>
      </c>
      <c r="J43" s="7">
        <f>ROUND(($M37-$H37)/5, 2)</f>
        <v>91176771.719999999</v>
      </c>
      <c r="K43" s="73">
        <f t="shared" si="15"/>
        <v>911767717.20000005</v>
      </c>
      <c r="L43" s="73">
        <f t="shared" si="15"/>
        <v>9117677172</v>
      </c>
      <c r="M43" s="73">
        <f t="shared" si="15"/>
        <v>91176771720</v>
      </c>
      <c r="N43" s="12"/>
      <c r="O43" s="11" t="str">
        <f t="shared" ref="O43:O44" si="20">TEXT(ROUND(M37/$C$27/10*100, 2), "0.00") &amp; "%"</f>
        <v>42.84%</v>
      </c>
    </row>
    <row r="44" spans="1:16" ht="15.85" customHeight="1" thickTop="1" thickBot="1" x14ac:dyDescent="0.5">
      <c r="A44" s="4"/>
      <c r="B44" s="115" t="s">
        <v>2</v>
      </c>
      <c r="C44" s="115"/>
      <c r="D44" s="75" t="str">
        <f>TEXT(ROUND(H38/$C$27/5*100, 2), "0.00") &amp; "%"</f>
        <v>0.00%</v>
      </c>
      <c r="E44" s="7">
        <f>ROUND($H38/5, 2)</f>
        <v>0</v>
      </c>
      <c r="F44" s="73">
        <f t="shared" si="16"/>
        <v>0</v>
      </c>
      <c r="G44" s="73">
        <f t="shared" si="17"/>
        <v>0</v>
      </c>
      <c r="H44" s="73">
        <f t="shared" si="18"/>
        <v>0</v>
      </c>
      <c r="I44" s="75" t="str">
        <f t="shared" si="19"/>
        <v>0.00%</v>
      </c>
      <c r="J44" s="7">
        <f>ROUND(($M38-$H38)/5, 2)</f>
        <v>0</v>
      </c>
      <c r="K44" s="73">
        <f t="shared" si="15"/>
        <v>0</v>
      </c>
      <c r="L44" s="73">
        <f t="shared" si="15"/>
        <v>0</v>
      </c>
      <c r="M44" s="73">
        <f t="shared" si="15"/>
        <v>0</v>
      </c>
      <c r="N44" s="12"/>
      <c r="O44" s="11" t="str">
        <f t="shared" si="20"/>
        <v>0.00%</v>
      </c>
    </row>
    <row r="45" spans="1:16" ht="15.85" customHeight="1" thickTop="1" thickBot="1" x14ac:dyDescent="0.5">
      <c r="A45" s="4"/>
      <c r="B45" s="115" t="s">
        <v>0</v>
      </c>
      <c r="C45" s="115"/>
      <c r="D45" s="75" t="str">
        <f>TEXT(ROUND(H39/$C$27/5*100, 2), "0.00") &amp; "%"</f>
        <v>22.20%</v>
      </c>
      <c r="E45" s="7">
        <f>ROUND($H39/5, 2)</f>
        <v>28854932.699999999</v>
      </c>
      <c r="F45" s="73">
        <f t="shared" si="16"/>
        <v>288549327</v>
      </c>
      <c r="G45" s="73">
        <f t="shared" si="17"/>
        <v>2885493270</v>
      </c>
      <c r="H45" s="73">
        <f t="shared" si="18"/>
        <v>28854932700</v>
      </c>
      <c r="I45" s="75" t="str">
        <f t="shared" si="19"/>
        <v>100.19%</v>
      </c>
      <c r="J45" s="7">
        <f>ROUND(($M39-$H39)/5, 2)</f>
        <v>130252531.03</v>
      </c>
      <c r="K45" s="73">
        <f t="shared" si="15"/>
        <v>1302525310.3</v>
      </c>
      <c r="L45" s="73">
        <f t="shared" si="15"/>
        <v>13025253103</v>
      </c>
      <c r="M45" s="73">
        <f t="shared" si="15"/>
        <v>130252531030</v>
      </c>
      <c r="N45" s="2"/>
      <c r="O45" s="20"/>
    </row>
    <row r="46" spans="1:16" ht="15.85" customHeight="1" thickTop="1" x14ac:dyDescent="0.45">
      <c r="B46" s="20"/>
      <c r="C46" s="27"/>
      <c r="D46" s="20"/>
      <c r="E46" s="20"/>
      <c r="F46" s="20"/>
      <c r="G46" s="20"/>
      <c r="H46" s="20"/>
      <c r="I46" s="20"/>
      <c r="J46" s="20"/>
      <c r="K46" s="20"/>
      <c r="L46" s="20"/>
      <c r="M46" s="20"/>
    </row>
  </sheetData>
  <mergeCells count="44">
    <mergeCell ref="B45:C45"/>
    <mergeCell ref="B40:C41"/>
    <mergeCell ref="D40:H40"/>
    <mergeCell ref="I40:M40"/>
    <mergeCell ref="B42:C42"/>
    <mergeCell ref="B43:C43"/>
    <mergeCell ref="B44:C44"/>
    <mergeCell ref="D27:M28"/>
    <mergeCell ref="O28:O33"/>
    <mergeCell ref="B34:B35"/>
    <mergeCell ref="C34:C35"/>
    <mergeCell ref="D34:D35"/>
    <mergeCell ref="E34:E35"/>
    <mergeCell ref="F34:F35"/>
    <mergeCell ref="G34:G35"/>
    <mergeCell ref="H34:H35"/>
    <mergeCell ref="I34:I35"/>
    <mergeCell ref="J34:J35"/>
    <mergeCell ref="K34:K35"/>
    <mergeCell ref="L34:L35"/>
    <mergeCell ref="M34:M35"/>
    <mergeCell ref="B21:C21"/>
    <mergeCell ref="B22:C22"/>
    <mergeCell ref="B23:C23"/>
    <mergeCell ref="B24:C24"/>
    <mergeCell ref="B25:C25"/>
    <mergeCell ref="D19:H19"/>
    <mergeCell ref="I19:M19"/>
    <mergeCell ref="B2:M4"/>
    <mergeCell ref="D6:M7"/>
    <mergeCell ref="B19:C20"/>
    <mergeCell ref="I13:I14"/>
    <mergeCell ref="J13:J14"/>
    <mergeCell ref="K13:K14"/>
    <mergeCell ref="L13:L14"/>
    <mergeCell ref="O7:O12"/>
    <mergeCell ref="B13:B14"/>
    <mergeCell ref="C13:C14"/>
    <mergeCell ref="D13:D14"/>
    <mergeCell ref="E13:E14"/>
    <mergeCell ref="F13:F14"/>
    <mergeCell ref="G13:G14"/>
    <mergeCell ref="H13:H14"/>
    <mergeCell ref="M13:M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BTC CAGR 25% 15%</vt:lpstr>
      <vt:lpstr>BTC CAGR 30% 20%</vt:lpstr>
      <vt:lpstr>BTC CAGR 30% 30%</vt:lpstr>
      <vt:lpstr>BTC CAGR 35% 25%</vt:lpstr>
      <vt:lpstr>BTC CAGR 40% 30%</vt:lpstr>
      <vt:lpstr>LQWD CAGR 80% 60%</vt:lpstr>
      <vt:lpstr>LQWD CAGR 60% 40%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Hutchinson</dc:creator>
  <cp:lastModifiedBy>Kyle Hutchinson</cp:lastModifiedBy>
  <dcterms:created xsi:type="dcterms:W3CDTF">2025-08-18T00:15:32Z</dcterms:created>
  <dcterms:modified xsi:type="dcterms:W3CDTF">2025-08-28T17:53:04Z</dcterms:modified>
</cp:coreProperties>
</file>