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3.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6.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7.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8.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9.xml" ContentType="application/vnd.openxmlformats-officedocument.drawing+xml"/>
  <Override PartName="/xl/ctrlProps/ctrlProp61.xml" ContentType="application/vnd.ms-excel.controlproperties+xml"/>
  <Override PartName="/xl/ctrlProps/ctrlProp62.xml" ContentType="application/vnd.ms-excel.controlproperties+xml"/>
  <Override PartName="/xl/tables/table1.xml" ContentType="application/vnd.openxmlformats-officedocument.spreadsheetml.table+xml"/>
  <Override PartName="/xl/drawings/drawing10.xml" ContentType="application/vnd.openxmlformats-officedocument.drawing+xml"/>
  <Override PartName="/xl/ctrlProps/ctrlProp63.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ctrlProps/ctrlProp64.xml" ContentType="application/vnd.ms-excel.controlproperties+xml"/>
  <Override PartName="/xl/drawings/drawing13.xml" ContentType="application/vnd.openxmlformats-officedocument.drawing+xml"/>
  <Override PartName="/xl/ctrlProps/ctrlProp65.xml" ContentType="application/vnd.ms-excel.controlproperties+xml"/>
  <Override PartName="/xl/drawings/drawing14.xml" ContentType="application/vnd.openxmlformats-officedocument.drawing+xml"/>
  <Override PartName="/xl/ctrlProps/ctrlProp66.xml" ContentType="application/vnd.ms-excel.controlproperties+xml"/>
  <Override PartName="/xl/drawings/drawing15.xml" ContentType="application/vnd.openxmlformats-officedocument.drawing+xml"/>
  <Override PartName="/xl/ctrlProps/ctrlProp67.xml" ContentType="application/vnd.ms-excel.controlproperties+xml"/>
  <Override PartName="/xl/drawings/drawing16.xml" ContentType="application/vnd.openxmlformats-officedocument.drawing+xml"/>
  <Override PartName="/xl/ctrlProps/ctrlProp68.xml" ContentType="application/vnd.ms-excel.controlproperties+xml"/>
  <Override PartName="/xl/drawings/drawing17.xml" ContentType="application/vnd.openxmlformats-officedocument.drawing+xml"/>
  <Override PartName="/xl/ctrlProps/ctrlProp69.xml" ContentType="application/vnd.ms-excel.controlproperties+xml"/>
  <Override PartName="/xl/drawings/drawing18.xml" ContentType="application/vnd.openxmlformats-officedocument.drawing+xml"/>
  <Override PartName="/xl/ctrlProps/ctrlProp70.xml" ContentType="application/vnd.ms-excel.controlproperties+xml"/>
  <Override PartName="/xl/drawings/drawing19.xml" ContentType="application/vnd.openxmlformats-officedocument.drawing+xml"/>
  <Override PartName="/xl/ctrlProps/ctrlProp71.xml" ContentType="application/vnd.ms-excel.controlproperties+xml"/>
  <Override PartName="/xl/drawings/drawing20.xml" ContentType="application/vnd.openxmlformats-officedocument.drawing+xml"/>
  <Override PartName="/xl/ctrlProps/ctrlProp72.xml" ContentType="application/vnd.ms-excel.controlproperties+xml"/>
  <Override PartName="/xl/drawings/drawing21.xml" ContentType="application/vnd.openxmlformats-officedocument.drawing+xml"/>
  <Override PartName="/xl/ctrlProps/ctrlProp73.xml" ContentType="application/vnd.ms-excel.controlproperties+xml"/>
  <Override PartName="/xl/drawings/drawing22.xml" ContentType="application/vnd.openxmlformats-officedocument.drawing+xml"/>
  <Override PartName="/xl/ctrlProps/ctrlProp74.xml" ContentType="application/vnd.ms-excel.controlproperties+xml"/>
  <Override PartName="/xl/drawings/drawing23.xml" ContentType="application/vnd.openxmlformats-officedocument.drawing+xml"/>
  <Override PartName="/xl/ctrlProps/ctrlProp75.xml" ContentType="application/vnd.ms-excel.controlproperties+xml"/>
  <Override PartName="/xl/drawings/drawing24.xml" ContentType="application/vnd.openxmlformats-officedocument.drawing+xml"/>
  <Override PartName="/xl/ctrlProps/ctrlProp76.xml" ContentType="application/vnd.ms-excel.controlproperties+xml"/>
  <Override PartName="/xl/drawings/drawing25.xml" ContentType="application/vnd.openxmlformats-officedocument.drawing+xml"/>
  <Override PartName="/xl/ctrlProps/ctrlProp77.xml" ContentType="application/vnd.ms-excel.controlproperties+xml"/>
  <Override PartName="/xl/drawings/drawing26.xml" ContentType="application/vnd.openxmlformats-officedocument.drawing+xml"/>
  <Override PartName="/xl/ctrlProps/ctrlProp78.xml" ContentType="application/vnd.ms-excel.controlproperties+xml"/>
  <Override PartName="/xl/drawings/drawing27.xml" ContentType="application/vnd.openxmlformats-officedocument.drawing+xml"/>
  <Override PartName="/xl/ctrlProps/ctrlProp79.xml" ContentType="application/vnd.ms-excel.controlproperties+xml"/>
  <Override PartName="/xl/drawings/drawing28.xml" ContentType="application/vnd.openxmlformats-officedocument.drawing+xml"/>
  <Override PartName="/xl/ctrlProps/ctrlProp80.xml" ContentType="application/vnd.ms-excel.controlproperties+xml"/>
  <Override PartName="/xl/drawings/drawing29.xml" ContentType="application/vnd.openxmlformats-officedocument.drawing+xml"/>
  <Override PartName="/xl/ctrlProps/ctrlProp81.xml" ContentType="application/vnd.ms-excel.controlproperties+xml"/>
  <Override PartName="/xl/drawings/drawing30.xml" ContentType="application/vnd.openxmlformats-officedocument.drawing+xml"/>
  <Override PartName="/xl/ctrlProps/ctrlProp82.xml" ContentType="application/vnd.ms-excel.controlproperties+xml"/>
  <Override PartName="/xl/drawings/drawing31.xml" ContentType="application/vnd.openxmlformats-officedocument.drawing+xml"/>
  <Override PartName="/xl/ctrlProps/ctrlProp83.xml" ContentType="application/vnd.ms-excel.controlproperties+xml"/>
  <Override PartName="/xl/drawings/drawing32.xml" ContentType="application/vnd.openxmlformats-officedocument.drawing+xml"/>
  <Override PartName="/xl/ctrlProps/ctrlProp84.xml" ContentType="application/vnd.ms-excel.controlproperties+xml"/>
  <Override PartName="/xl/drawings/drawing33.xml" ContentType="application/vnd.openxmlformats-officedocument.drawing+xml"/>
  <Override PartName="/xl/drawings/drawing34.xml" ContentType="application/vnd.openxmlformats-officedocument.drawing+xml"/>
  <Override PartName="/xl/ctrlProps/ctrlProp85.xml" ContentType="application/vnd.ms-excel.controlproperties+xml"/>
  <Override PartName="/xl/ctrlProps/ctrlProp86.xml" ContentType="application/vnd.ms-excel.controlproperties+xml"/>
  <Override PartName="/xl/drawings/drawing35.xml" ContentType="application/vnd.openxmlformats-officedocument.drawing+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drawings/drawing36.xml" ContentType="application/vnd.openxmlformats-officedocument.drawing+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drawings/drawing37.xml" ContentType="application/vnd.openxmlformats-officedocument.drawing+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drawings/drawing38.xml" ContentType="application/vnd.openxmlformats-officedocument.drawing+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drawings/drawing39.xml" ContentType="application/vnd.openxmlformats-officedocument.drawing+xml"/>
  <Override PartName="/xl/drawings/drawing40.xml" ContentType="application/vnd.openxmlformats-officedocument.drawing+xml"/>
  <Override PartName="/xl/ctrlProps/ctrlProp119.xml" ContentType="application/vnd.ms-excel.controlproperties+xml"/>
  <Override PartName="/xl/ctrlProps/ctrlProp120.xml" ContentType="application/vnd.ms-excel.controlproperties+xml"/>
  <Override PartName="/xl/drawings/drawing41.xml" ContentType="application/vnd.openxmlformats-officedocument.drawing+xml"/>
  <Override PartName="/xl/ctrlProps/ctrlProp121.xml" ContentType="application/vnd.ms-excel.controlproperties+xml"/>
  <Override PartName="/xl/drawings/drawing42.xml" ContentType="application/vnd.openxmlformats-officedocument.drawing+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acr-resource-gw.asrclkrec.org\Users$\e258399\Documents\Commercial General\Transfers\Improved Property\2026\107350009 - LI\"/>
    </mc:Choice>
  </mc:AlternateContent>
  <xr:revisionPtr revIDLastSave="0" documentId="13_ncr:1_{413F98AF-96FD-45D9-A7E6-CC8225AC1B1E}" xr6:coauthVersionLast="47" xr6:coauthVersionMax="47" xr10:uidLastSave="{00000000-0000-0000-0000-000000000000}"/>
  <bookViews>
    <workbookView xWindow="57492" yWindow="5352" windowWidth="38616" windowHeight="21816" tabRatio="961" xr2:uid="{373DB1F9-1A34-4AD1-BCA1-4EA96F7BAE7C}"/>
  </bookViews>
  <sheets>
    <sheet name="INPUT" sheetId="1" r:id="rId1"/>
    <sheet name="Proposed Stip Cover" sheetId="94" state="hidden" r:id="rId2"/>
    <sheet name="Arranged Comps" sheetId="15" r:id="rId3"/>
    <sheet name="AU DATA" sheetId="14" state="hidden" r:id="rId4"/>
    <sheet name="Overview" sheetId="50" r:id="rId5"/>
    <sheet name="Cover Transfer" sheetId="89" r:id="rId6"/>
    <sheet name="Cover" sheetId="84" state="hidden" r:id="rId7"/>
    <sheet name="Narrative" sheetId="52" state="hidden" r:id="rId8"/>
    <sheet name="Land Narrative" sheetId="78" state="hidden" r:id="rId9"/>
    <sheet name="Subj Pics" sheetId="92" r:id="rId10"/>
    <sheet name="Sales Grid" sheetId="53" r:id="rId11"/>
    <sheet name="Land Grid" sheetId="71" state="hidden" r:id="rId12"/>
    <sheet name="Apt Grid" sheetId="93" state="hidden" r:id="rId13"/>
    <sheet name="Comp Pics" sheetId="90" r:id="rId14"/>
    <sheet name="Comp Map" sheetId="55" r:id="rId15"/>
    <sheet name="Direct Cap Actual" sheetId="76" r:id="rId16"/>
    <sheet name="Direct Cap Abrv." sheetId="75" r:id="rId17"/>
    <sheet name="Lease Up" sheetId="131" r:id="rId18"/>
    <sheet name="Subject Rent" sheetId="132" r:id="rId19"/>
    <sheet name="Extra Page (8)" sheetId="133" r:id="rId20"/>
    <sheet name="CEA" sheetId="80" r:id="rId21"/>
    <sheet name="Cap Rate Comps" sheetId="82" r:id="rId22"/>
    <sheet name="Extra Page" sheetId="95" r:id="rId23"/>
    <sheet name="Lease Comps" sheetId="83" r:id="rId24"/>
    <sheet name="Extra Page (3)" sheetId="97" state="hidden" r:id="rId25"/>
    <sheet name="Extra Page (2)" sheetId="96" state="hidden" r:id="rId26"/>
    <sheet name="Extra Page (4)" sheetId="98" state="hidden" r:id="rId27"/>
    <sheet name="Extra Page (5)" sheetId="99" state="hidden" r:id="rId28"/>
    <sheet name="Extra Page (6)" sheetId="129" state="hidden" r:id="rId29"/>
    <sheet name="Extra Page (7)" sheetId="130" state="hidden" r:id="rId30"/>
    <sheet name="Lease Comps (2)" sheetId="137" r:id="rId31"/>
    <sheet name="Extra Page (9)" sheetId="134" r:id="rId32"/>
    <sheet name="Extra Page (10)" sheetId="135" r:id="rId33"/>
    <sheet name="Extra Page (11)" sheetId="136" r:id="rId34"/>
    <sheet name="Extra Page (12)" sheetId="138" r:id="rId35"/>
    <sheet name="Program Data" sheetId="8" state="hidden" r:id="rId36"/>
    <sheet name="Program Data_Clean" sheetId="125" state="veryHidden" r:id="rId37"/>
    <sheet name="Extra Page (5)_Clean" sheetId="124" state="veryHidden" r:id="rId38"/>
    <sheet name="Extra Page (4)_Clean" sheetId="123" state="veryHidden" r:id="rId39"/>
    <sheet name="Extra Page (3)_Clean" sheetId="122" state="veryHidden" r:id="rId40"/>
    <sheet name="Extra Page (2)_Clean" sheetId="121" state="veryHidden" r:id="rId41"/>
    <sheet name="Extra Page_Clean" sheetId="120" state="veryHidden" r:id="rId42"/>
    <sheet name="Lease Comps_Clean" sheetId="119" state="veryHidden" r:id="rId43"/>
    <sheet name="Cap Rate Comps_Clean" sheetId="118" state="veryHidden" r:id="rId44"/>
    <sheet name="Direct Cap Abrv._Clean" sheetId="117" state="veryHidden" r:id="rId45"/>
    <sheet name="Direct Cap Actual_Clean" sheetId="116" state="veryHidden" r:id="rId46"/>
    <sheet name="CEA_Clean" sheetId="115" state="veryHidden" r:id="rId47"/>
    <sheet name="Comp Map_Clean" sheetId="114" state="veryHidden" r:id="rId48"/>
    <sheet name="Comp Pics_Clean" sheetId="113" state="veryHidden" r:id="rId49"/>
    <sheet name="Apt Grid_Clean" sheetId="112" state="veryHidden" r:id="rId50"/>
    <sheet name="Land Grid_Clean" sheetId="111" state="veryHidden" r:id="rId51"/>
    <sheet name="Sales Grid_Clean" sheetId="110" state="veryHidden" r:id="rId52"/>
    <sheet name="Subj Pics_Clean" sheetId="109" state="veryHidden" r:id="rId53"/>
    <sheet name="Land Narrative_Clean" sheetId="108" state="veryHidden" r:id="rId54"/>
    <sheet name="Narrative_Clean" sheetId="107" state="veryHidden" r:id="rId55"/>
    <sheet name="Cover_Clean" sheetId="106" state="veryHidden" r:id="rId56"/>
    <sheet name="Cover Transfer_Clean" sheetId="105" state="veryHidden" r:id="rId57"/>
    <sheet name="Overview_Clean" sheetId="104" state="veryHidden" r:id="rId58"/>
    <sheet name="AU DATA_Clean" sheetId="103" state="veryHidden" r:id="rId59"/>
    <sheet name="Arranged Comps_Clean" sheetId="102" state="veryHidden" r:id="rId60"/>
    <sheet name="Proposed Stip Cover_Clean" sheetId="101" state="veryHidden" r:id="rId61"/>
    <sheet name="INPUT_Clean" sheetId="100" state="veryHidden" r:id="rId62"/>
  </sheets>
  <functionGroups builtInGroupCount="19"/>
  <externalReferences>
    <externalReference r:id="rId63"/>
    <externalReference r:id="rId64"/>
    <externalReference r:id="rId65"/>
    <externalReference r:id="rId66"/>
    <externalReference r:id="rId67"/>
  </externalReferences>
  <definedNames>
    <definedName name="\0" localSheetId="14">#REF!</definedName>
    <definedName name="\0" localSheetId="47">#REF!</definedName>
    <definedName name="\0" localSheetId="13">#REF!</definedName>
    <definedName name="\0" localSheetId="48">#REF!</definedName>
    <definedName name="\0" localSheetId="6">#REF!</definedName>
    <definedName name="\0" localSheetId="55">#REF!</definedName>
    <definedName name="\0" localSheetId="8">#REF!</definedName>
    <definedName name="\0" localSheetId="53">#REF!</definedName>
    <definedName name="\0" localSheetId="7">#REF!</definedName>
    <definedName name="\0" localSheetId="54">#REF!</definedName>
    <definedName name="\0" localSheetId="4">#REF!</definedName>
    <definedName name="\0" localSheetId="57">#REF!</definedName>
    <definedName name="\0" localSheetId="10">#REF!</definedName>
    <definedName name="\0" localSheetId="51">#REF!</definedName>
    <definedName name="\0" localSheetId="9">#REF!</definedName>
    <definedName name="\0" localSheetId="52">#REF!</definedName>
    <definedName name="\0">#REF!</definedName>
    <definedName name="\A" localSheetId="14">#REF!</definedName>
    <definedName name="\A" localSheetId="47">#REF!</definedName>
    <definedName name="\A" localSheetId="13">#REF!</definedName>
    <definedName name="\A" localSheetId="48">#REF!</definedName>
    <definedName name="\A" localSheetId="6">#REF!</definedName>
    <definedName name="\A" localSheetId="55">#REF!</definedName>
    <definedName name="\A" localSheetId="8">#REF!</definedName>
    <definedName name="\A" localSheetId="53">#REF!</definedName>
    <definedName name="\A" localSheetId="7">#REF!</definedName>
    <definedName name="\A" localSheetId="54">#REF!</definedName>
    <definedName name="\A" localSheetId="4">#REF!</definedName>
    <definedName name="\A" localSheetId="57">#REF!</definedName>
    <definedName name="\A" localSheetId="10">#REF!</definedName>
    <definedName name="\A" localSheetId="51">#REF!</definedName>
    <definedName name="\A" localSheetId="9">#REF!</definedName>
    <definedName name="\A" localSheetId="52">#REF!</definedName>
    <definedName name="\A">#REF!</definedName>
    <definedName name="\B" localSheetId="14">#REF!</definedName>
    <definedName name="\B" localSheetId="47">#REF!</definedName>
    <definedName name="\B" localSheetId="13">#REF!</definedName>
    <definedName name="\B" localSheetId="48">#REF!</definedName>
    <definedName name="\B" localSheetId="6">#REF!</definedName>
    <definedName name="\B" localSheetId="55">#REF!</definedName>
    <definedName name="\B" localSheetId="8">#REF!</definedName>
    <definedName name="\B" localSheetId="53">#REF!</definedName>
    <definedName name="\B" localSheetId="7">#REF!</definedName>
    <definedName name="\B" localSheetId="54">#REF!</definedName>
    <definedName name="\B" localSheetId="4">#REF!</definedName>
    <definedName name="\B" localSheetId="57">#REF!</definedName>
    <definedName name="\B" localSheetId="10">#REF!</definedName>
    <definedName name="\B" localSheetId="51">#REF!</definedName>
    <definedName name="\B" localSheetId="9">#REF!</definedName>
    <definedName name="\B" localSheetId="52">#REF!</definedName>
    <definedName name="\B">#REF!</definedName>
    <definedName name="\C" localSheetId="8">#REF!</definedName>
    <definedName name="\C" localSheetId="53">#REF!</definedName>
    <definedName name="\C" localSheetId="17">#REF!</definedName>
    <definedName name="\C" localSheetId="7">#REF!</definedName>
    <definedName name="\C" localSheetId="54">#REF!</definedName>
    <definedName name="\C" localSheetId="10">#REF!</definedName>
    <definedName name="\C" localSheetId="51">#REF!</definedName>
    <definedName name="\C">#REF!</definedName>
    <definedName name="\E" localSheetId="8">#REF!</definedName>
    <definedName name="\E" localSheetId="53">#REF!</definedName>
    <definedName name="\E" localSheetId="17">#REF!</definedName>
    <definedName name="\E" localSheetId="7">#REF!</definedName>
    <definedName name="\E" localSheetId="54">#REF!</definedName>
    <definedName name="\E" localSheetId="10">#REF!</definedName>
    <definedName name="\E" localSheetId="51">#REF!</definedName>
    <definedName name="\E">#REF!</definedName>
    <definedName name="\F" localSheetId="8">#REF!</definedName>
    <definedName name="\F" localSheetId="53">#REF!</definedName>
    <definedName name="\F" localSheetId="17">#REF!</definedName>
    <definedName name="\F" localSheetId="7">#REF!</definedName>
    <definedName name="\F" localSheetId="54">#REF!</definedName>
    <definedName name="\F" localSheetId="10">#REF!</definedName>
    <definedName name="\F" localSheetId="51">#REF!</definedName>
    <definedName name="\F">#REF!</definedName>
    <definedName name="\G" localSheetId="8">#REF!</definedName>
    <definedName name="\G" localSheetId="53">#REF!</definedName>
    <definedName name="\G" localSheetId="17">#REF!</definedName>
    <definedName name="\G" localSheetId="7">#REF!</definedName>
    <definedName name="\G" localSheetId="54">#REF!</definedName>
    <definedName name="\G" localSheetId="10">#REF!</definedName>
    <definedName name="\G" localSheetId="51">#REF!</definedName>
    <definedName name="\G">#REF!</definedName>
    <definedName name="\H" localSheetId="8">#REF!</definedName>
    <definedName name="\H" localSheetId="53">#REF!</definedName>
    <definedName name="\H" localSheetId="17">#REF!</definedName>
    <definedName name="\H" localSheetId="7">#REF!</definedName>
    <definedName name="\H" localSheetId="54">#REF!</definedName>
    <definedName name="\H" localSheetId="10">#REF!</definedName>
    <definedName name="\H" localSheetId="51">#REF!</definedName>
    <definedName name="\H">#REF!</definedName>
    <definedName name="\I" localSheetId="8">#REF!</definedName>
    <definedName name="\I" localSheetId="53">#REF!</definedName>
    <definedName name="\I" localSheetId="17">#REF!</definedName>
    <definedName name="\I" localSheetId="7">#REF!</definedName>
    <definedName name="\I" localSheetId="54">#REF!</definedName>
    <definedName name="\I" localSheetId="10">#REF!</definedName>
    <definedName name="\I" localSheetId="51">#REF!</definedName>
    <definedName name="\I">#REF!</definedName>
    <definedName name="\J" localSheetId="8">#REF!</definedName>
    <definedName name="\J" localSheetId="53">#REF!</definedName>
    <definedName name="\J" localSheetId="17">#REF!</definedName>
    <definedName name="\J" localSheetId="7">#REF!</definedName>
    <definedName name="\J" localSheetId="54">#REF!</definedName>
    <definedName name="\J" localSheetId="10">#REF!</definedName>
    <definedName name="\J" localSheetId="51">#REF!</definedName>
    <definedName name="\J">#REF!</definedName>
    <definedName name="\K" localSheetId="8">#REF!</definedName>
    <definedName name="\K" localSheetId="53">#REF!</definedName>
    <definedName name="\K" localSheetId="17">#REF!</definedName>
    <definedName name="\K" localSheetId="7">#REF!</definedName>
    <definedName name="\K" localSheetId="54">#REF!</definedName>
    <definedName name="\K" localSheetId="10">#REF!</definedName>
    <definedName name="\K" localSheetId="51">#REF!</definedName>
    <definedName name="\K">#REF!</definedName>
    <definedName name="\L" localSheetId="8">#REF!</definedName>
    <definedName name="\L" localSheetId="53">#REF!</definedName>
    <definedName name="\L" localSheetId="17">#REF!</definedName>
    <definedName name="\L" localSheetId="7">#REF!</definedName>
    <definedName name="\L" localSheetId="54">#REF!</definedName>
    <definedName name="\L" localSheetId="10">#REF!</definedName>
    <definedName name="\L" localSheetId="51">#REF!</definedName>
    <definedName name="\L">#REF!</definedName>
    <definedName name="\P" localSheetId="10">#REF!</definedName>
    <definedName name="\P" localSheetId="51">#REF!</definedName>
    <definedName name="\P">#REF!</definedName>
    <definedName name="\S" localSheetId="8">#REF!</definedName>
    <definedName name="\S" localSheetId="53">#REF!</definedName>
    <definedName name="\S" localSheetId="17">#REF!</definedName>
    <definedName name="\S" localSheetId="7">#REF!</definedName>
    <definedName name="\S" localSheetId="54">#REF!</definedName>
    <definedName name="\S" localSheetId="10">#REF!</definedName>
    <definedName name="\S" localSheetId="51">#REF!</definedName>
    <definedName name="\S">#REF!</definedName>
    <definedName name="\T" localSheetId="8">#REF!</definedName>
    <definedName name="\T" localSheetId="53">#REF!</definedName>
    <definedName name="\T" localSheetId="17">#REF!</definedName>
    <definedName name="\T" localSheetId="7">#REF!</definedName>
    <definedName name="\T" localSheetId="54">#REF!</definedName>
    <definedName name="\T" localSheetId="10">#REF!</definedName>
    <definedName name="\T" localSheetId="51">#REF!</definedName>
    <definedName name="\T">#REF!</definedName>
    <definedName name="\W" localSheetId="8">#REF!</definedName>
    <definedName name="\W" localSheetId="53">#REF!</definedName>
    <definedName name="\W" localSheetId="17">#REF!</definedName>
    <definedName name="\W" localSheetId="7">#REF!</definedName>
    <definedName name="\W" localSheetId="54">#REF!</definedName>
    <definedName name="\W" localSheetId="10">#REF!</definedName>
    <definedName name="\W" localSheetId="51">#REF!</definedName>
    <definedName name="\W">#REF!</definedName>
    <definedName name="\Y" localSheetId="8">#REF!</definedName>
    <definedName name="\Y" localSheetId="53">#REF!</definedName>
    <definedName name="\Y" localSheetId="17">#REF!</definedName>
    <definedName name="\Y" localSheetId="7">#REF!</definedName>
    <definedName name="\Y" localSheetId="54">#REF!</definedName>
    <definedName name="\Y" localSheetId="10">#REF!</definedName>
    <definedName name="\Y" localSheetId="51">#REF!</definedName>
    <definedName name="\Y">#REF!</definedName>
    <definedName name="_________OK1" localSheetId="10">#REF!</definedName>
    <definedName name="_________OK1" localSheetId="51">#REF!</definedName>
    <definedName name="_________OK1">#REF!</definedName>
    <definedName name="_________RGN1" localSheetId="10">#REF!</definedName>
    <definedName name="_________RGN1" localSheetId="51">#REF!</definedName>
    <definedName name="_________RGN1">#REF!</definedName>
    <definedName name="_________ZZ1" localSheetId="10">#REF!</definedName>
    <definedName name="_________ZZ1" localSheetId="51">#REF!</definedName>
    <definedName name="_________ZZ1">#REF!</definedName>
    <definedName name="_________ZZ11" localSheetId="10">#REF!</definedName>
    <definedName name="_________ZZ11" localSheetId="51">#REF!</definedName>
    <definedName name="_________ZZ11">#REF!</definedName>
    <definedName name="_________ZZ2" localSheetId="10">#REF!</definedName>
    <definedName name="_________ZZ2" localSheetId="51">#REF!</definedName>
    <definedName name="_________ZZ2">#REF!</definedName>
    <definedName name="_________ZZ3" localSheetId="10">#REF!</definedName>
    <definedName name="_________ZZ3" localSheetId="51">#REF!</definedName>
    <definedName name="_________ZZ3">#REF!</definedName>
    <definedName name="_________ZZ5" localSheetId="10">#REF!</definedName>
    <definedName name="_________ZZ5" localSheetId="51">#REF!</definedName>
    <definedName name="_________ZZ5">#REF!</definedName>
    <definedName name="_________ZZ6" localSheetId="10">#REF!</definedName>
    <definedName name="_________ZZ6" localSheetId="51">#REF!</definedName>
    <definedName name="_________ZZ6">#REF!</definedName>
    <definedName name="_________ZZ7" localSheetId="10">#REF!</definedName>
    <definedName name="_________ZZ7" localSheetId="51">#REF!</definedName>
    <definedName name="_________ZZ7">#REF!</definedName>
    <definedName name="_________ZZ8" localSheetId="10">#REF!</definedName>
    <definedName name="_________ZZ8" localSheetId="51">#REF!</definedName>
    <definedName name="_________ZZ8">#REF!</definedName>
    <definedName name="_________ZZ9" localSheetId="10">#REF!</definedName>
    <definedName name="_________ZZ9" localSheetId="51">#REF!</definedName>
    <definedName name="_________ZZ9">#REF!</definedName>
    <definedName name="_______OK1" localSheetId="10">#REF!</definedName>
    <definedName name="_______OK1" localSheetId="51">#REF!</definedName>
    <definedName name="_______OK1">#REF!</definedName>
    <definedName name="_______RGN1" localSheetId="10">#REF!</definedName>
    <definedName name="_______RGN1" localSheetId="51">#REF!</definedName>
    <definedName name="_______RGN1">#REF!</definedName>
    <definedName name="_______ZZ1" localSheetId="10">#REF!</definedName>
    <definedName name="_______ZZ1" localSheetId="51">#REF!</definedName>
    <definedName name="_______ZZ1">#REF!</definedName>
    <definedName name="_______ZZ11" localSheetId="10">#REF!</definedName>
    <definedName name="_______ZZ11" localSheetId="51">#REF!</definedName>
    <definedName name="_______ZZ11">#REF!</definedName>
    <definedName name="_______ZZ2" localSheetId="10">#REF!</definedName>
    <definedName name="_______ZZ2" localSheetId="51">#REF!</definedName>
    <definedName name="_______ZZ2">#REF!</definedName>
    <definedName name="_______ZZ3" localSheetId="10">#REF!</definedName>
    <definedName name="_______ZZ3" localSheetId="51">#REF!</definedName>
    <definedName name="_______ZZ3">#REF!</definedName>
    <definedName name="_______ZZ5" localSheetId="10">#REF!</definedName>
    <definedName name="_______ZZ5" localSheetId="51">#REF!</definedName>
    <definedName name="_______ZZ5">#REF!</definedName>
    <definedName name="_______ZZ6" localSheetId="10">#REF!</definedName>
    <definedName name="_______ZZ6" localSheetId="51">#REF!</definedName>
    <definedName name="_______ZZ6">#REF!</definedName>
    <definedName name="_______ZZ7" localSheetId="10">#REF!</definedName>
    <definedName name="_______ZZ7" localSheetId="51">#REF!</definedName>
    <definedName name="_______ZZ7">#REF!</definedName>
    <definedName name="_______ZZ8" localSheetId="10">#REF!</definedName>
    <definedName name="_______ZZ8" localSheetId="51">#REF!</definedName>
    <definedName name="_______ZZ8">#REF!</definedName>
    <definedName name="_______ZZ9" localSheetId="10">#REF!</definedName>
    <definedName name="_______ZZ9" localSheetId="51">#REF!</definedName>
    <definedName name="_______ZZ9">#REF!</definedName>
    <definedName name="_____OK1" localSheetId="10">#REF!</definedName>
    <definedName name="_____OK1" localSheetId="51">#REF!</definedName>
    <definedName name="_____OK1">#REF!</definedName>
    <definedName name="_____RGN1" localSheetId="10">#REF!</definedName>
    <definedName name="_____RGN1" localSheetId="51">#REF!</definedName>
    <definedName name="_____RGN1">#REF!</definedName>
    <definedName name="_____ZZ1" localSheetId="10">#REF!</definedName>
    <definedName name="_____ZZ1" localSheetId="51">#REF!</definedName>
    <definedName name="_____ZZ1">#REF!</definedName>
    <definedName name="_____ZZ11" localSheetId="10">#REF!</definedName>
    <definedName name="_____ZZ11" localSheetId="51">#REF!</definedName>
    <definedName name="_____ZZ11">#REF!</definedName>
    <definedName name="_____ZZ2" localSheetId="10">#REF!</definedName>
    <definedName name="_____ZZ2" localSheetId="51">#REF!</definedName>
    <definedName name="_____ZZ2">#REF!</definedName>
    <definedName name="_____ZZ3" localSheetId="10">#REF!</definedName>
    <definedName name="_____ZZ3" localSheetId="51">#REF!</definedName>
    <definedName name="_____ZZ3">#REF!</definedName>
    <definedName name="_____ZZ5" localSheetId="10">#REF!</definedName>
    <definedName name="_____ZZ5" localSheetId="51">#REF!</definedName>
    <definedName name="_____ZZ5">#REF!</definedName>
    <definedName name="_____ZZ6" localSheetId="10">#REF!</definedName>
    <definedName name="_____ZZ6" localSheetId="51">#REF!</definedName>
    <definedName name="_____ZZ6">#REF!</definedName>
    <definedName name="_____ZZ7" localSheetId="10">#REF!</definedName>
    <definedName name="_____ZZ7" localSheetId="51">#REF!</definedName>
    <definedName name="_____ZZ7">#REF!</definedName>
    <definedName name="_____ZZ8" localSheetId="10">#REF!</definedName>
    <definedName name="_____ZZ8" localSheetId="51">#REF!</definedName>
    <definedName name="_____ZZ8">#REF!</definedName>
    <definedName name="_____ZZ9" localSheetId="10">#REF!</definedName>
    <definedName name="_____ZZ9" localSheetId="51">#REF!</definedName>
    <definedName name="_____ZZ9">#REF!</definedName>
    <definedName name="____OK1" localSheetId="10">#REF!</definedName>
    <definedName name="____OK1" localSheetId="51">#REF!</definedName>
    <definedName name="____OK1">#REF!</definedName>
    <definedName name="____RGN1" localSheetId="10">#REF!</definedName>
    <definedName name="____RGN1" localSheetId="51">#REF!</definedName>
    <definedName name="____RGN1">#REF!</definedName>
    <definedName name="____ZZ1" localSheetId="10">#REF!</definedName>
    <definedName name="____ZZ1" localSheetId="51">#REF!</definedName>
    <definedName name="____ZZ1">#REF!</definedName>
    <definedName name="____ZZ11" localSheetId="10">#REF!</definedName>
    <definedName name="____ZZ11" localSheetId="51">#REF!</definedName>
    <definedName name="____ZZ11">#REF!</definedName>
    <definedName name="____ZZ2" localSheetId="10">#REF!</definedName>
    <definedName name="____ZZ2" localSheetId="51">#REF!</definedName>
    <definedName name="____ZZ2">#REF!</definedName>
    <definedName name="____ZZ3" localSheetId="10">#REF!</definedName>
    <definedName name="____ZZ3" localSheetId="51">#REF!</definedName>
    <definedName name="____ZZ3">#REF!</definedName>
    <definedName name="____ZZ5" localSheetId="10">#REF!</definedName>
    <definedName name="____ZZ5" localSheetId="51">#REF!</definedName>
    <definedName name="____ZZ5">#REF!</definedName>
    <definedName name="____ZZ6" localSheetId="10">#REF!</definedName>
    <definedName name="____ZZ6" localSheetId="51">#REF!</definedName>
    <definedName name="____ZZ6">#REF!</definedName>
    <definedName name="____ZZ7" localSheetId="10">#REF!</definedName>
    <definedName name="____ZZ7" localSheetId="51">#REF!</definedName>
    <definedName name="____ZZ7">#REF!</definedName>
    <definedName name="____ZZ8" localSheetId="10">#REF!</definedName>
    <definedName name="____ZZ8" localSheetId="51">#REF!</definedName>
    <definedName name="____ZZ8">#REF!</definedName>
    <definedName name="____ZZ9" localSheetId="10">#REF!</definedName>
    <definedName name="____ZZ9" localSheetId="51">#REF!</definedName>
    <definedName name="____ZZ9">#REF!</definedName>
    <definedName name="___OK1" localSheetId="10">#REF!</definedName>
    <definedName name="___OK1" localSheetId="51">#REF!</definedName>
    <definedName name="___OK1">#REF!</definedName>
    <definedName name="___RGN1" localSheetId="10">#REF!</definedName>
    <definedName name="___RGN1" localSheetId="51">#REF!</definedName>
    <definedName name="___RGN1">#REF!</definedName>
    <definedName name="___ZZ1" localSheetId="10">#REF!</definedName>
    <definedName name="___ZZ1" localSheetId="51">#REF!</definedName>
    <definedName name="___ZZ1">#REF!</definedName>
    <definedName name="___ZZ11" localSheetId="10">#REF!</definedName>
    <definedName name="___ZZ11" localSheetId="51">#REF!</definedName>
    <definedName name="___ZZ11">#REF!</definedName>
    <definedName name="___ZZ2" localSheetId="10">#REF!</definedName>
    <definedName name="___ZZ2" localSheetId="51">#REF!</definedName>
    <definedName name="___ZZ2">#REF!</definedName>
    <definedName name="___ZZ3" localSheetId="10">#REF!</definedName>
    <definedName name="___ZZ3" localSheetId="51">#REF!</definedName>
    <definedName name="___ZZ3">#REF!</definedName>
    <definedName name="___ZZ5" localSheetId="10">#REF!</definedName>
    <definedName name="___ZZ5" localSheetId="51">#REF!</definedName>
    <definedName name="___ZZ5">#REF!</definedName>
    <definedName name="___ZZ6" localSheetId="10">#REF!</definedName>
    <definedName name="___ZZ6" localSheetId="51">#REF!</definedName>
    <definedName name="___ZZ6">#REF!</definedName>
    <definedName name="___ZZ7" localSheetId="10">#REF!</definedName>
    <definedName name="___ZZ7" localSheetId="51">#REF!</definedName>
    <definedName name="___ZZ7">#REF!</definedName>
    <definedName name="___ZZ8" localSheetId="10">#REF!</definedName>
    <definedName name="___ZZ8" localSheetId="51">#REF!</definedName>
    <definedName name="___ZZ8">#REF!</definedName>
    <definedName name="___ZZ9" localSheetId="10">#REF!</definedName>
    <definedName name="___ZZ9" localSheetId="51">#REF!</definedName>
    <definedName name="___ZZ9">#REF!</definedName>
    <definedName name="__123Graph_B" localSheetId="8" hidden="1">#REF!</definedName>
    <definedName name="__123Graph_B" localSheetId="53" hidden="1">#REF!</definedName>
    <definedName name="__123Graph_B" localSheetId="17" hidden="1">#REF!</definedName>
    <definedName name="__123Graph_B" localSheetId="7" hidden="1">#REF!</definedName>
    <definedName name="__123Graph_B" localSheetId="54" hidden="1">#REF!</definedName>
    <definedName name="__123Graph_B" localSheetId="10" hidden="1">#REF!</definedName>
    <definedName name="__123Graph_B" localSheetId="51" hidden="1">#REF!</definedName>
    <definedName name="__123Graph_B" hidden="1">#REF!</definedName>
    <definedName name="__OK1" localSheetId="10">#REF!</definedName>
    <definedName name="__OK1" localSheetId="51">#REF!</definedName>
    <definedName name="__OK1">#REF!</definedName>
    <definedName name="__RGN1" localSheetId="10">#REF!</definedName>
    <definedName name="__RGN1" localSheetId="51">#REF!</definedName>
    <definedName name="__RGN1">#REF!</definedName>
    <definedName name="__ZZ1" localSheetId="10">#REF!</definedName>
    <definedName name="__ZZ1" localSheetId="51">#REF!</definedName>
    <definedName name="__ZZ1">#REF!</definedName>
    <definedName name="__ZZ11" localSheetId="10">#REF!</definedName>
    <definedName name="__ZZ11" localSheetId="51">#REF!</definedName>
    <definedName name="__ZZ11">#REF!</definedName>
    <definedName name="__ZZ2" localSheetId="10">#REF!</definedName>
    <definedName name="__ZZ2" localSheetId="51">#REF!</definedName>
    <definedName name="__ZZ2">#REF!</definedName>
    <definedName name="__ZZ3" localSheetId="10">#REF!</definedName>
    <definedName name="__ZZ3" localSheetId="51">#REF!</definedName>
    <definedName name="__ZZ3">#REF!</definedName>
    <definedName name="__ZZ5" localSheetId="10">#REF!</definedName>
    <definedName name="__ZZ5" localSheetId="51">#REF!</definedName>
    <definedName name="__ZZ5">#REF!</definedName>
    <definedName name="__ZZ6" localSheetId="10">#REF!</definedName>
    <definedName name="__ZZ6" localSheetId="51">#REF!</definedName>
    <definedName name="__ZZ6">#REF!</definedName>
    <definedName name="__ZZ7" localSheetId="10">#REF!</definedName>
    <definedName name="__ZZ7" localSheetId="51">#REF!</definedName>
    <definedName name="__ZZ7">#REF!</definedName>
    <definedName name="__ZZ8" localSheetId="10">#REF!</definedName>
    <definedName name="__ZZ8" localSheetId="51">#REF!</definedName>
    <definedName name="__ZZ8">#REF!</definedName>
    <definedName name="__ZZ9" localSheetId="10">#REF!</definedName>
    <definedName name="__ZZ9" localSheetId="51">#REF!</definedName>
    <definedName name="__ZZ9">#REF!</definedName>
    <definedName name="_3COMPS" localSheetId="8">#REF!</definedName>
    <definedName name="_3COMPS" localSheetId="53">#REF!</definedName>
    <definedName name="_3COMPS" localSheetId="17">#REF!</definedName>
    <definedName name="_3COMPS" localSheetId="7">#REF!</definedName>
    <definedName name="_3COMPS" localSheetId="54">#REF!</definedName>
    <definedName name="_3COMPS" localSheetId="10">#REF!</definedName>
    <definedName name="_3COMPS" localSheetId="51">#REF!</definedName>
    <definedName name="_3COMPS">#REF!</definedName>
    <definedName name="_3COMPSLD" localSheetId="8">#REF!</definedName>
    <definedName name="_3COMPSLD" localSheetId="53">#REF!</definedName>
    <definedName name="_3COMPSLD" localSheetId="17">#REF!</definedName>
    <definedName name="_3COMPSLD" localSheetId="7">#REF!</definedName>
    <definedName name="_3COMPSLD" localSheetId="54">#REF!</definedName>
    <definedName name="_3COMPSLD" localSheetId="10">#REF!</definedName>
    <definedName name="_3COMPSLD" localSheetId="51">#REF!</definedName>
    <definedName name="_3COMPSLD">#REF!</definedName>
    <definedName name="_xlnm._FilterDatabase" localSheetId="2" hidden="1">'Arranged Comps'!$A$3:$Z$3</definedName>
    <definedName name="_xlnm._FilterDatabase" localSheetId="59" hidden="1">'Arranged Comps_Clean'!$A$3:$Z$3</definedName>
    <definedName name="_xlnm._FilterDatabase" localSheetId="18" hidden="1">'Subject Rent'!$A$1:$K$1</definedName>
    <definedName name="_OK1" localSheetId="14">#REF!</definedName>
    <definedName name="_OK1" localSheetId="47">#REF!</definedName>
    <definedName name="_OK1" localSheetId="13">#REF!</definedName>
    <definedName name="_OK1" localSheetId="48">#REF!</definedName>
    <definedName name="_OK1" localSheetId="6">#REF!</definedName>
    <definedName name="_OK1" localSheetId="55">#REF!</definedName>
    <definedName name="_OK1" localSheetId="8">#REF!</definedName>
    <definedName name="_OK1" localSheetId="53">#REF!</definedName>
    <definedName name="_OK1" localSheetId="17">#REF!</definedName>
    <definedName name="_OK1" localSheetId="7">#REF!</definedName>
    <definedName name="_OK1" localSheetId="54">#REF!</definedName>
    <definedName name="_OK1" localSheetId="4">#REF!</definedName>
    <definedName name="_OK1" localSheetId="57">#REF!</definedName>
    <definedName name="_OK1" localSheetId="10">#REF!</definedName>
    <definedName name="_OK1" localSheetId="51">#REF!</definedName>
    <definedName name="_OK1" localSheetId="9">#REF!</definedName>
    <definedName name="_OK1" localSheetId="52">#REF!</definedName>
    <definedName name="_OK1">#REF!</definedName>
    <definedName name="_RGN1" localSheetId="8">#REF!</definedName>
    <definedName name="_RGN1" localSheetId="53">#REF!</definedName>
    <definedName name="_RGN1" localSheetId="17">#REF!</definedName>
    <definedName name="_RGN1" localSheetId="7">#REF!</definedName>
    <definedName name="_RGN1" localSheetId="54">#REF!</definedName>
    <definedName name="_RGN1" localSheetId="10">#REF!</definedName>
    <definedName name="_RGN1" localSheetId="51">#REF!</definedName>
    <definedName name="_RGN1">#REF!</definedName>
    <definedName name="_RT402" localSheetId="20">#REF!</definedName>
    <definedName name="_RT402" localSheetId="46">#REF!</definedName>
    <definedName name="_RT402" localSheetId="11">#REF!</definedName>
    <definedName name="_RT402" localSheetId="50">#REF!</definedName>
    <definedName name="_RT402" localSheetId="17">[1]Input!$AW$102</definedName>
    <definedName name="_RT402">#REF!</definedName>
    <definedName name="_xleta.CODE" hidden="1" xlm="1">#NAME?</definedName>
    <definedName name="_xleta.CONCATENATE" hidden="1" xlm="1">#NAME?</definedName>
    <definedName name="_xleta.DATE" hidden="1" xlm="1">#NAME?</definedName>
    <definedName name="_xleta.DELTA" hidden="1" xlm="1">#NAME?</definedName>
    <definedName name="_xleta.IF" hidden="1" xlm="1">#NAME?</definedName>
    <definedName name="_xleta.LOWER" hidden="1" xlm="1">#NAME?</definedName>
    <definedName name="_xleta.OR" hidden="1" xlm="1">#NAME?</definedName>
    <definedName name="_xleta.PRICE" hidden="1" xlm="1">#NAME?</definedName>
    <definedName name="_xleta.PROPER" hidden="1" xlm="1">#NAME?</definedName>
    <definedName name="_xleta.RATE" hidden="1" xlm="1">#NAME?</definedName>
    <definedName name="_xleta.TEXT" hidden="1" xlm="1">#NAME?</definedName>
    <definedName name="_xleta.VALUE" hidden="1" xlm="1">#NAME?</definedName>
    <definedName name="_ZZ1" localSheetId="14">#REF!</definedName>
    <definedName name="_ZZ1" localSheetId="47">#REF!</definedName>
    <definedName name="_ZZ1" localSheetId="13">#REF!</definedName>
    <definedName name="_ZZ1" localSheetId="48">#REF!</definedName>
    <definedName name="_ZZ1" localSheetId="6">#REF!</definedName>
    <definedName name="_ZZ1" localSheetId="55">#REF!</definedName>
    <definedName name="_ZZ1" localSheetId="8">#REF!</definedName>
    <definedName name="_ZZ1" localSheetId="53">#REF!</definedName>
    <definedName name="_ZZ1" localSheetId="17">#REF!</definedName>
    <definedName name="_ZZ1" localSheetId="7">#REF!</definedName>
    <definedName name="_ZZ1" localSheetId="54">#REF!</definedName>
    <definedName name="_ZZ1" localSheetId="4">#REF!</definedName>
    <definedName name="_ZZ1" localSheetId="57">#REF!</definedName>
    <definedName name="_ZZ1" localSheetId="10">#REF!</definedName>
    <definedName name="_ZZ1" localSheetId="51">#REF!</definedName>
    <definedName name="_ZZ1" localSheetId="9">#REF!</definedName>
    <definedName name="_ZZ1" localSheetId="52">#REF!</definedName>
    <definedName name="_ZZ1">#REF!</definedName>
    <definedName name="_ZZ11" localSheetId="8">#REF!</definedName>
    <definedName name="_ZZ11" localSheetId="53">#REF!</definedName>
    <definedName name="_ZZ11" localSheetId="17">#REF!</definedName>
    <definedName name="_ZZ11" localSheetId="7">#REF!</definedName>
    <definedName name="_ZZ11" localSheetId="54">#REF!</definedName>
    <definedName name="_ZZ11" localSheetId="10">#REF!</definedName>
    <definedName name="_ZZ11" localSheetId="51">#REF!</definedName>
    <definedName name="_ZZ11">#REF!</definedName>
    <definedName name="_ZZ2" localSheetId="8">#REF!</definedName>
    <definedName name="_ZZ2" localSheetId="53">#REF!</definedName>
    <definedName name="_ZZ2" localSheetId="17">#REF!</definedName>
    <definedName name="_ZZ2" localSheetId="7">#REF!</definedName>
    <definedName name="_ZZ2" localSheetId="54">#REF!</definedName>
    <definedName name="_ZZ2" localSheetId="10">#REF!</definedName>
    <definedName name="_ZZ2" localSheetId="51">#REF!</definedName>
    <definedName name="_ZZ2">#REF!</definedName>
    <definedName name="_ZZ3" localSheetId="8">#REF!</definedName>
    <definedName name="_ZZ3" localSheetId="53">#REF!</definedName>
    <definedName name="_ZZ3" localSheetId="17">#REF!</definedName>
    <definedName name="_ZZ3" localSheetId="7">#REF!</definedName>
    <definedName name="_ZZ3" localSheetId="54">#REF!</definedName>
    <definedName name="_ZZ3" localSheetId="10">#REF!</definedName>
    <definedName name="_ZZ3" localSheetId="51">#REF!</definedName>
    <definedName name="_ZZ3">#REF!</definedName>
    <definedName name="_ZZ5" localSheetId="8">#REF!</definedName>
    <definedName name="_ZZ5" localSheetId="53">#REF!</definedName>
    <definedName name="_ZZ5" localSheetId="17">#REF!</definedName>
    <definedName name="_ZZ5" localSheetId="7">#REF!</definedName>
    <definedName name="_ZZ5" localSheetId="54">#REF!</definedName>
    <definedName name="_ZZ5" localSheetId="10">#REF!</definedName>
    <definedName name="_ZZ5" localSheetId="51">#REF!</definedName>
    <definedName name="_ZZ5">#REF!</definedName>
    <definedName name="_ZZ6" localSheetId="8">#REF!</definedName>
    <definedName name="_ZZ6" localSheetId="53">#REF!</definedName>
    <definedName name="_ZZ6" localSheetId="17">#REF!</definedName>
    <definedName name="_ZZ6" localSheetId="7">#REF!</definedName>
    <definedName name="_ZZ6" localSheetId="54">#REF!</definedName>
    <definedName name="_ZZ6" localSheetId="10">#REF!</definedName>
    <definedName name="_ZZ6" localSheetId="51">#REF!</definedName>
    <definedName name="_ZZ6">#REF!</definedName>
    <definedName name="_ZZ7" localSheetId="8">#REF!</definedName>
    <definedName name="_ZZ7" localSheetId="53">#REF!</definedName>
    <definedName name="_ZZ7" localSheetId="17">#REF!</definedName>
    <definedName name="_ZZ7" localSheetId="7">#REF!</definedName>
    <definedName name="_ZZ7" localSheetId="54">#REF!</definedName>
    <definedName name="_ZZ7" localSheetId="10">#REF!</definedName>
    <definedName name="_ZZ7" localSheetId="51">#REF!</definedName>
    <definedName name="_ZZ7">#REF!</definedName>
    <definedName name="_ZZ8" localSheetId="8">#REF!</definedName>
    <definedName name="_ZZ8" localSheetId="53">#REF!</definedName>
    <definedName name="_ZZ8" localSheetId="17">#REF!</definedName>
    <definedName name="_ZZ8" localSheetId="7">#REF!</definedName>
    <definedName name="_ZZ8" localSheetId="54">#REF!</definedName>
    <definedName name="_ZZ8" localSheetId="10">#REF!</definedName>
    <definedName name="_ZZ8" localSheetId="51">#REF!</definedName>
    <definedName name="_ZZ8">#REF!</definedName>
    <definedName name="_ZZ9" localSheetId="8">#REF!</definedName>
    <definedName name="_ZZ9" localSheetId="53">#REF!</definedName>
    <definedName name="_ZZ9" localSheetId="17">#REF!</definedName>
    <definedName name="_ZZ9" localSheetId="7">#REF!</definedName>
    <definedName name="_ZZ9" localSheetId="54">#REF!</definedName>
    <definedName name="_ZZ9" localSheetId="10">#REF!</definedName>
    <definedName name="_ZZ9" localSheetId="51">#REF!</definedName>
    <definedName name="_ZZ9">#REF!</definedName>
    <definedName name="ADDENDUM" localSheetId="10">#REF!</definedName>
    <definedName name="ADDENDUM" localSheetId="51">#REF!</definedName>
    <definedName name="ADDENDUM">#REF!</definedName>
    <definedName name="Addm" localSheetId="10">#REF!</definedName>
    <definedName name="Addm" localSheetId="51">#REF!</definedName>
    <definedName name="Addm">#REF!</definedName>
    <definedName name="ADJ" localSheetId="8">#REF!</definedName>
    <definedName name="ADJ" localSheetId="53">#REF!</definedName>
    <definedName name="ADJ" localSheetId="17">#REF!</definedName>
    <definedName name="ADJ" localSheetId="7">#REF!</definedName>
    <definedName name="ADJ" localSheetId="54">#REF!</definedName>
    <definedName name="ADJ" localSheetId="10">#REF!</definedName>
    <definedName name="ADJ" localSheetId="51">#REF!</definedName>
    <definedName name="ADJ">#REF!</definedName>
    <definedName name="ALLOCATE" localSheetId="8">#REF!</definedName>
    <definedName name="ALLOCATE" localSheetId="53">#REF!</definedName>
    <definedName name="ALLOCATE" localSheetId="17">#REF!</definedName>
    <definedName name="ALLOCATE" localSheetId="7">#REF!</definedName>
    <definedName name="ALLOCATE" localSheetId="54">#REF!</definedName>
    <definedName name="ALLOCATE" localSheetId="10">#REF!</definedName>
    <definedName name="ALLOCATE" localSheetId="51">#REF!</definedName>
    <definedName name="ALLOCATE">#REF!</definedName>
    <definedName name="BREAK_IT_UP" localSheetId="8">#REF!</definedName>
    <definedName name="BREAK_IT_UP" localSheetId="53">#REF!</definedName>
    <definedName name="BREAK_IT_UP" localSheetId="17">#REF!</definedName>
    <definedName name="BREAK_IT_UP" localSheetId="7">#REF!</definedName>
    <definedName name="BREAK_IT_UP" localSheetId="54">#REF!</definedName>
    <definedName name="BREAK_IT_UP" localSheetId="10">#REF!</definedName>
    <definedName name="BREAK_IT_UP" localSheetId="51">#REF!</definedName>
    <definedName name="BREAK_IT_UP">#REF!</definedName>
    <definedName name="BREAK_IT_UPE" localSheetId="8">#REF!</definedName>
    <definedName name="BREAK_IT_UPE" localSheetId="53">#REF!</definedName>
    <definedName name="BREAK_IT_UPE" localSheetId="17">#REF!</definedName>
    <definedName name="BREAK_IT_UPE" localSheetId="7">#REF!</definedName>
    <definedName name="BREAK_IT_UPE" localSheetId="54">#REF!</definedName>
    <definedName name="BREAK_IT_UPE" localSheetId="10">#REF!</definedName>
    <definedName name="BREAK_IT_UPE" localSheetId="51">#REF!</definedName>
    <definedName name="BREAK_IT_UPE">#REF!</definedName>
    <definedName name="CAPS" localSheetId="8">#REF!</definedName>
    <definedName name="CAPS" localSheetId="53">#REF!</definedName>
    <definedName name="CAPS" localSheetId="17">#REF!</definedName>
    <definedName name="CAPS" localSheetId="7">#REF!</definedName>
    <definedName name="CAPS" localSheetId="54">#REF!</definedName>
    <definedName name="CAPS" localSheetId="10">#REF!</definedName>
    <definedName name="CAPS" localSheetId="51">#REF!</definedName>
    <definedName name="CAPS">#REF!</definedName>
    <definedName name="CENTER_F" localSheetId="8">#REF!</definedName>
    <definedName name="CENTER_F" localSheetId="53">#REF!</definedName>
    <definedName name="CENTER_F" localSheetId="17">#REF!</definedName>
    <definedName name="CENTER_F" localSheetId="7">#REF!</definedName>
    <definedName name="CENTER_F" localSheetId="54">#REF!</definedName>
    <definedName name="CENTER_F" localSheetId="10">#REF!</definedName>
    <definedName name="CENTER_F" localSheetId="51">#REF!</definedName>
    <definedName name="CENTER_F">#REF!</definedName>
    <definedName name="CENTER_J" localSheetId="8">#REF!</definedName>
    <definedName name="CENTER_J" localSheetId="53">#REF!</definedName>
    <definedName name="CENTER_J" localSheetId="17">#REF!</definedName>
    <definedName name="CENTER_J" localSheetId="7">#REF!</definedName>
    <definedName name="CENTER_J" localSheetId="54">#REF!</definedName>
    <definedName name="CENTER_J" localSheetId="10">#REF!</definedName>
    <definedName name="CENTER_J" localSheetId="51">#REF!</definedName>
    <definedName name="CENTER_J">#REF!</definedName>
    <definedName name="CHECK" localSheetId="8">#REF!</definedName>
    <definedName name="CHECK" localSheetId="53">#REF!</definedName>
    <definedName name="CHECK" localSheetId="17">#REF!</definedName>
    <definedName name="CHECK" localSheetId="7">#REF!</definedName>
    <definedName name="CHECK" localSheetId="54">#REF!</definedName>
    <definedName name="CHECK" localSheetId="10">#REF!</definedName>
    <definedName name="CHECK" localSheetId="51">#REF!</definedName>
    <definedName name="CHECK">#REF!</definedName>
    <definedName name="CHECKG" localSheetId="8">#REF!</definedName>
    <definedName name="CHECKG" localSheetId="53">#REF!</definedName>
    <definedName name="CHECKG" localSheetId="17">#REF!</definedName>
    <definedName name="CHECKG" localSheetId="7">#REF!</definedName>
    <definedName name="CHECKG" localSheetId="54">#REF!</definedName>
    <definedName name="CHECKG" localSheetId="10">#REF!</definedName>
    <definedName name="CHECKG" localSheetId="51">#REF!</definedName>
    <definedName name="CHECKG">#REF!</definedName>
    <definedName name="CHECKH" localSheetId="8">#REF!</definedName>
    <definedName name="CHECKH" localSheetId="53">#REF!</definedName>
    <definedName name="CHECKH" localSheetId="17">#REF!</definedName>
    <definedName name="CHECKH" localSheetId="7">#REF!</definedName>
    <definedName name="CHECKH" localSheetId="54">#REF!</definedName>
    <definedName name="CHECKH" localSheetId="10">#REF!</definedName>
    <definedName name="CHECKH" localSheetId="51">#REF!</definedName>
    <definedName name="CHECKH">#REF!</definedName>
    <definedName name="CHOICE1" localSheetId="8">#REF!</definedName>
    <definedName name="CHOICE1" localSheetId="53">#REF!</definedName>
    <definedName name="CHOICE1" localSheetId="17">#REF!</definedName>
    <definedName name="CHOICE1" localSheetId="7">#REF!</definedName>
    <definedName name="CHOICE1" localSheetId="54">#REF!</definedName>
    <definedName name="CHOICE1" localSheetId="10">#REF!</definedName>
    <definedName name="CHOICE1" localSheetId="51">#REF!</definedName>
    <definedName name="CHOICE1">#REF!</definedName>
    <definedName name="CHOICE2" localSheetId="8">#REF!</definedName>
    <definedName name="CHOICE2" localSheetId="53">#REF!</definedName>
    <definedName name="CHOICE2" localSheetId="17">#REF!</definedName>
    <definedName name="CHOICE2" localSheetId="7">#REF!</definedName>
    <definedName name="CHOICE2" localSheetId="54">#REF!</definedName>
    <definedName name="CHOICE2" localSheetId="10">#REF!</definedName>
    <definedName name="CHOICE2" localSheetId="51">#REF!</definedName>
    <definedName name="CHOICE2">#REF!</definedName>
    <definedName name="CHOICE3" localSheetId="8">#REF!</definedName>
    <definedName name="CHOICE3" localSheetId="53">#REF!</definedName>
    <definedName name="CHOICE3" localSheetId="17">#REF!</definedName>
    <definedName name="CHOICE3" localSheetId="7">#REF!</definedName>
    <definedName name="CHOICE3" localSheetId="54">#REF!</definedName>
    <definedName name="CHOICE3" localSheetId="10">#REF!</definedName>
    <definedName name="CHOICE3" localSheetId="51">#REF!</definedName>
    <definedName name="CHOICE3">#REF!</definedName>
    <definedName name="CHOICEB" localSheetId="8">#REF!</definedName>
    <definedName name="CHOICEB" localSheetId="53">#REF!</definedName>
    <definedName name="CHOICEB" localSheetId="17">#REF!</definedName>
    <definedName name="CHOICEB" localSheetId="7">#REF!</definedName>
    <definedName name="CHOICEB" localSheetId="54">#REF!</definedName>
    <definedName name="CHOICEB" localSheetId="10">#REF!</definedName>
    <definedName name="CHOICEB" localSheetId="51">#REF!</definedName>
    <definedName name="CHOICEB">#REF!</definedName>
    <definedName name="CHOICEB2" localSheetId="8">#REF!</definedName>
    <definedName name="CHOICEB2" localSheetId="53">#REF!</definedName>
    <definedName name="CHOICEB2" localSheetId="17">#REF!</definedName>
    <definedName name="CHOICEB2" localSheetId="7">#REF!</definedName>
    <definedName name="CHOICEB2" localSheetId="54">#REF!</definedName>
    <definedName name="CHOICEB2" localSheetId="10">#REF!</definedName>
    <definedName name="CHOICEB2" localSheetId="51">#REF!</definedName>
    <definedName name="CHOICEB2">#REF!</definedName>
    <definedName name="CHOICEC" localSheetId="8">#REF!</definedName>
    <definedName name="CHOICEC" localSheetId="53">#REF!</definedName>
    <definedName name="CHOICEC" localSheetId="17">#REF!</definedName>
    <definedName name="CHOICEC" localSheetId="7">#REF!</definedName>
    <definedName name="CHOICEC" localSheetId="54">#REF!</definedName>
    <definedName name="CHOICEC" localSheetId="10">#REF!</definedName>
    <definedName name="CHOICEC" localSheetId="51">#REF!</definedName>
    <definedName name="CHOICEC">#REF!</definedName>
    <definedName name="CHOICEC2" localSheetId="8">#REF!</definedName>
    <definedName name="CHOICEC2" localSheetId="53">#REF!</definedName>
    <definedName name="CHOICEC2" localSheetId="17">#REF!</definedName>
    <definedName name="CHOICEC2" localSheetId="7">#REF!</definedName>
    <definedName name="CHOICEC2" localSheetId="54">#REF!</definedName>
    <definedName name="CHOICEC2" localSheetId="10">#REF!</definedName>
    <definedName name="CHOICEC2" localSheetId="51">#REF!</definedName>
    <definedName name="CHOICEC2">#REF!</definedName>
    <definedName name="CHOICED" localSheetId="8">#REF!</definedName>
    <definedName name="CHOICED" localSheetId="53">#REF!</definedName>
    <definedName name="CHOICED" localSheetId="17">#REF!</definedName>
    <definedName name="CHOICED" localSheetId="7">#REF!</definedName>
    <definedName name="CHOICED" localSheetId="54">#REF!</definedName>
    <definedName name="CHOICED" localSheetId="10">#REF!</definedName>
    <definedName name="CHOICED" localSheetId="51">#REF!</definedName>
    <definedName name="CHOICED">#REF!</definedName>
    <definedName name="CHOICED2" localSheetId="8">#REF!</definedName>
    <definedName name="CHOICED2" localSheetId="53">#REF!</definedName>
    <definedName name="CHOICED2" localSheetId="17">#REF!</definedName>
    <definedName name="CHOICED2" localSheetId="7">#REF!</definedName>
    <definedName name="CHOICED2" localSheetId="54">#REF!</definedName>
    <definedName name="CHOICED2" localSheetId="10">#REF!</definedName>
    <definedName name="CHOICED2" localSheetId="51">#REF!</definedName>
    <definedName name="CHOICED2">#REF!</definedName>
    <definedName name="CHOICEE" localSheetId="8">#REF!</definedName>
    <definedName name="CHOICEE" localSheetId="53">#REF!</definedName>
    <definedName name="CHOICEE" localSheetId="17">#REF!</definedName>
    <definedName name="CHOICEE" localSheetId="7">#REF!</definedName>
    <definedName name="CHOICEE" localSheetId="54">#REF!</definedName>
    <definedName name="CHOICEE" localSheetId="10">#REF!</definedName>
    <definedName name="CHOICEE" localSheetId="51">#REF!</definedName>
    <definedName name="CHOICEE">#REF!</definedName>
    <definedName name="CHOICEF" localSheetId="8">#REF!</definedName>
    <definedName name="CHOICEF" localSheetId="53">#REF!</definedName>
    <definedName name="CHOICEF" localSheetId="17">#REF!</definedName>
    <definedName name="CHOICEF" localSheetId="7">#REF!</definedName>
    <definedName name="CHOICEF" localSheetId="54">#REF!</definedName>
    <definedName name="CHOICEF" localSheetId="10">#REF!</definedName>
    <definedName name="CHOICEF" localSheetId="51">#REF!</definedName>
    <definedName name="CHOICEF">#REF!</definedName>
    <definedName name="CHOICEF2" localSheetId="8">#REF!</definedName>
    <definedName name="CHOICEF2" localSheetId="53">#REF!</definedName>
    <definedName name="CHOICEF2" localSheetId="17">#REF!</definedName>
    <definedName name="CHOICEF2" localSheetId="7">#REF!</definedName>
    <definedName name="CHOICEF2" localSheetId="54">#REF!</definedName>
    <definedName name="CHOICEF2" localSheetId="10">#REF!</definedName>
    <definedName name="CHOICEF2" localSheetId="51">#REF!</definedName>
    <definedName name="CHOICEF2">#REF!</definedName>
    <definedName name="CHOICEG" localSheetId="8">#REF!</definedName>
    <definedName name="CHOICEG" localSheetId="53">#REF!</definedName>
    <definedName name="CHOICEG" localSheetId="17">#REF!</definedName>
    <definedName name="CHOICEG" localSheetId="7">#REF!</definedName>
    <definedName name="CHOICEG" localSheetId="54">#REF!</definedName>
    <definedName name="CHOICEG" localSheetId="10">#REF!</definedName>
    <definedName name="CHOICEG" localSheetId="51">#REF!</definedName>
    <definedName name="CHOICEG">#REF!</definedName>
    <definedName name="CHOICEG2" localSheetId="8">#REF!</definedName>
    <definedName name="CHOICEG2" localSheetId="53">#REF!</definedName>
    <definedName name="CHOICEG2" localSheetId="17">#REF!</definedName>
    <definedName name="CHOICEG2" localSheetId="7">#REF!</definedName>
    <definedName name="CHOICEG2" localSheetId="54">#REF!</definedName>
    <definedName name="CHOICEG2" localSheetId="10">#REF!</definedName>
    <definedName name="CHOICEG2" localSheetId="51">#REF!</definedName>
    <definedName name="CHOICEG2">#REF!</definedName>
    <definedName name="CHOICEH" localSheetId="8">#REF!</definedName>
    <definedName name="CHOICEH" localSheetId="53">#REF!</definedName>
    <definedName name="CHOICEH" localSheetId="17">#REF!</definedName>
    <definedName name="CHOICEH" localSheetId="7">#REF!</definedName>
    <definedName name="CHOICEH" localSheetId="54">#REF!</definedName>
    <definedName name="CHOICEH" localSheetId="10">#REF!</definedName>
    <definedName name="CHOICEH" localSheetId="51">#REF!</definedName>
    <definedName name="CHOICEH">#REF!</definedName>
    <definedName name="CHOICEH2" localSheetId="8">#REF!</definedName>
    <definedName name="CHOICEH2" localSheetId="53">#REF!</definedName>
    <definedName name="CHOICEH2" localSheetId="17">#REF!</definedName>
    <definedName name="CHOICEH2" localSheetId="7">#REF!</definedName>
    <definedName name="CHOICEH2" localSheetId="54">#REF!</definedName>
    <definedName name="CHOICEH2" localSheetId="10">#REF!</definedName>
    <definedName name="CHOICEH2" localSheetId="51">#REF!</definedName>
    <definedName name="CHOICEH2">#REF!</definedName>
    <definedName name="CHOICEI1" localSheetId="8">#REF!</definedName>
    <definedName name="CHOICEI1" localSheetId="53">#REF!</definedName>
    <definedName name="CHOICEI1" localSheetId="17">#REF!</definedName>
    <definedName name="CHOICEI1" localSheetId="7">#REF!</definedName>
    <definedName name="CHOICEI1" localSheetId="54">#REF!</definedName>
    <definedName name="CHOICEI1" localSheetId="10">#REF!</definedName>
    <definedName name="CHOICEI1" localSheetId="51">#REF!</definedName>
    <definedName name="CHOICEI1">#REF!</definedName>
    <definedName name="CHOICEI2" localSheetId="8">#REF!</definedName>
    <definedName name="CHOICEI2" localSheetId="53">#REF!</definedName>
    <definedName name="CHOICEI2" localSheetId="17">#REF!</definedName>
    <definedName name="CHOICEI2" localSheetId="7">#REF!</definedName>
    <definedName name="CHOICEI2" localSheetId="54">#REF!</definedName>
    <definedName name="CHOICEI2" localSheetId="10">#REF!</definedName>
    <definedName name="CHOICEI2" localSheetId="51">#REF!</definedName>
    <definedName name="CHOICEI2">#REF!</definedName>
    <definedName name="CHOICEJ" localSheetId="8">#REF!</definedName>
    <definedName name="CHOICEJ" localSheetId="53">#REF!</definedName>
    <definedName name="CHOICEJ" localSheetId="17">#REF!</definedName>
    <definedName name="CHOICEJ" localSheetId="7">#REF!</definedName>
    <definedName name="CHOICEJ" localSheetId="54">#REF!</definedName>
    <definedName name="CHOICEJ" localSheetId="10">#REF!</definedName>
    <definedName name="CHOICEJ" localSheetId="51">#REF!</definedName>
    <definedName name="CHOICEJ">#REF!</definedName>
    <definedName name="CHOICEK" localSheetId="8">#REF!</definedName>
    <definedName name="CHOICEK" localSheetId="53">#REF!</definedName>
    <definedName name="CHOICEK" localSheetId="17">#REF!</definedName>
    <definedName name="CHOICEK" localSheetId="7">#REF!</definedName>
    <definedName name="CHOICEK" localSheetId="54">#REF!</definedName>
    <definedName name="CHOICEK" localSheetId="10">#REF!</definedName>
    <definedName name="CHOICEK" localSheetId="51">#REF!</definedName>
    <definedName name="CHOICEK">#REF!</definedName>
    <definedName name="CHOICEL" localSheetId="8">#REF!</definedName>
    <definedName name="CHOICEL" localSheetId="53">#REF!</definedName>
    <definedName name="CHOICEL" localSheetId="17">#REF!</definedName>
    <definedName name="CHOICEL" localSheetId="7">#REF!</definedName>
    <definedName name="CHOICEL" localSheetId="54">#REF!</definedName>
    <definedName name="CHOICEL" localSheetId="10">#REF!</definedName>
    <definedName name="CHOICEL" localSheetId="51">#REF!</definedName>
    <definedName name="CHOICEL">#REF!</definedName>
    <definedName name="CLEANG" localSheetId="8">#REF!</definedName>
    <definedName name="CLEANG" localSheetId="53">#REF!</definedName>
    <definedName name="CLEANG" localSheetId="17">#REF!</definedName>
    <definedName name="CLEANG" localSheetId="7">#REF!</definedName>
    <definedName name="CLEANG" localSheetId="54">#REF!</definedName>
    <definedName name="CLEANG" localSheetId="10">#REF!</definedName>
    <definedName name="CLEANG" localSheetId="51">#REF!</definedName>
    <definedName name="CLEANG">#REF!</definedName>
    <definedName name="CLEANH" localSheetId="8">#REF!</definedName>
    <definedName name="CLEANH" localSheetId="53">#REF!</definedName>
    <definedName name="CLEANH" localSheetId="17">#REF!</definedName>
    <definedName name="CLEANH" localSheetId="7">#REF!</definedName>
    <definedName name="CLEANH" localSheetId="54">#REF!</definedName>
    <definedName name="CLEANH" localSheetId="10">#REF!</definedName>
    <definedName name="CLEANH" localSheetId="51">#REF!</definedName>
    <definedName name="CLEANH">#REF!</definedName>
    <definedName name="CLM" localSheetId="8">#REF!</definedName>
    <definedName name="CLM" localSheetId="53">#REF!</definedName>
    <definedName name="CLM" localSheetId="17">#REF!</definedName>
    <definedName name="CLM" localSheetId="7">#REF!</definedName>
    <definedName name="CLM" localSheetId="54">#REF!</definedName>
    <definedName name="CLM" localSheetId="10">#REF!</definedName>
    <definedName name="CLM" localSheetId="51">#REF!</definedName>
    <definedName name="CLM">#REF!</definedName>
    <definedName name="CLOSE" localSheetId="10">#REF!</definedName>
    <definedName name="CLOSE" localSheetId="51">#REF!</definedName>
    <definedName name="CLOSE">#REF!</definedName>
    <definedName name="cls" localSheetId="10">#REF!</definedName>
    <definedName name="cls" localSheetId="51">#REF!</definedName>
    <definedName name="cls">#REF!</definedName>
    <definedName name="CONTINUE1" localSheetId="8">#REF!</definedName>
    <definedName name="CONTINUE1" localSheetId="53">#REF!</definedName>
    <definedName name="CONTINUE1" localSheetId="17">#REF!</definedName>
    <definedName name="CONTINUE1" localSheetId="7">#REF!</definedName>
    <definedName name="CONTINUE1" localSheetId="54">#REF!</definedName>
    <definedName name="CONTINUE1" localSheetId="10">#REF!</definedName>
    <definedName name="CONTINUE1" localSheetId="51">#REF!</definedName>
    <definedName name="CONTINUE1">#REF!</definedName>
    <definedName name="CONTINUE2" localSheetId="8">#REF!</definedName>
    <definedName name="CONTINUE2" localSheetId="53">#REF!</definedName>
    <definedName name="CONTINUE2" localSheetId="17">#REF!</definedName>
    <definedName name="CONTINUE2" localSheetId="7">#REF!</definedName>
    <definedName name="CONTINUE2" localSheetId="54">#REF!</definedName>
    <definedName name="CONTINUE2" localSheetId="10">#REF!</definedName>
    <definedName name="CONTINUE2" localSheetId="51">#REF!</definedName>
    <definedName name="CONTINUE2">#REF!</definedName>
    <definedName name="CONTINUE3" localSheetId="8">#REF!</definedName>
    <definedName name="CONTINUE3" localSheetId="53">#REF!</definedName>
    <definedName name="CONTINUE3" localSheetId="17">#REF!</definedName>
    <definedName name="CONTINUE3" localSheetId="7">#REF!</definedName>
    <definedName name="CONTINUE3" localSheetId="54">#REF!</definedName>
    <definedName name="CONTINUE3" localSheetId="10">#REF!</definedName>
    <definedName name="CONTINUE3" localSheetId="51">#REF!</definedName>
    <definedName name="CONTINUE3">#REF!</definedName>
    <definedName name="CONTINUF2" localSheetId="8">#REF!</definedName>
    <definedName name="CONTINUF2" localSheetId="53">#REF!</definedName>
    <definedName name="CONTINUF2" localSheetId="17">#REF!</definedName>
    <definedName name="CONTINUF2" localSheetId="7">#REF!</definedName>
    <definedName name="CONTINUF2" localSheetId="54">#REF!</definedName>
    <definedName name="CONTINUF2" localSheetId="10">#REF!</definedName>
    <definedName name="CONTINUF2" localSheetId="51">#REF!</definedName>
    <definedName name="CONTINUF2">#REF!</definedName>
    <definedName name="CONTINUJ2" localSheetId="8">#REF!</definedName>
    <definedName name="CONTINUJ2" localSheetId="53">#REF!</definedName>
    <definedName name="CONTINUJ2" localSheetId="17">#REF!</definedName>
    <definedName name="CONTINUJ2" localSheetId="7">#REF!</definedName>
    <definedName name="CONTINUJ2" localSheetId="54">#REF!</definedName>
    <definedName name="CONTINUJ2" localSheetId="10">#REF!</definedName>
    <definedName name="CONTINUJ2" localSheetId="51">#REF!</definedName>
    <definedName name="CONTINUJ2">#REF!</definedName>
    <definedName name="CONTINUJ3" localSheetId="8">#REF!</definedName>
    <definedName name="CONTINUJ3" localSheetId="53">#REF!</definedName>
    <definedName name="CONTINUJ3" localSheetId="17">#REF!</definedName>
    <definedName name="CONTINUJ3" localSheetId="7">#REF!</definedName>
    <definedName name="CONTINUJ3" localSheetId="54">#REF!</definedName>
    <definedName name="CONTINUJ3" localSheetId="10">#REF!</definedName>
    <definedName name="CONTINUJ3" localSheetId="51">#REF!</definedName>
    <definedName name="CONTINUJ3">#REF!</definedName>
    <definedName name="CONTINUK2" localSheetId="8">#REF!</definedName>
    <definedName name="CONTINUK2" localSheetId="53">#REF!</definedName>
    <definedName name="CONTINUK2" localSheetId="17">#REF!</definedName>
    <definedName name="CONTINUK2" localSheetId="7">#REF!</definedName>
    <definedName name="CONTINUK2" localSheetId="54">#REF!</definedName>
    <definedName name="CONTINUK2" localSheetId="10">#REF!</definedName>
    <definedName name="CONTINUK2" localSheetId="51">#REF!</definedName>
    <definedName name="CONTINUK2">#REF!</definedName>
    <definedName name="CONTINUK3" localSheetId="8">#REF!</definedName>
    <definedName name="CONTINUK3" localSheetId="53">#REF!</definedName>
    <definedName name="CONTINUK3" localSheetId="17">#REF!</definedName>
    <definedName name="CONTINUK3" localSheetId="7">#REF!</definedName>
    <definedName name="CONTINUK3" localSheetId="54">#REF!</definedName>
    <definedName name="CONTINUK3" localSheetId="10">#REF!</definedName>
    <definedName name="CONTINUK3" localSheetId="51">#REF!</definedName>
    <definedName name="CONTINUK3">#REF!</definedName>
    <definedName name="CONTINUL2" localSheetId="8">#REF!</definedName>
    <definedName name="CONTINUL2" localSheetId="53">#REF!</definedName>
    <definedName name="CONTINUL2" localSheetId="17">#REF!</definedName>
    <definedName name="CONTINUL2" localSheetId="7">#REF!</definedName>
    <definedName name="CONTINUL2" localSheetId="54">#REF!</definedName>
    <definedName name="CONTINUL2" localSheetId="10">#REF!</definedName>
    <definedName name="CONTINUL2" localSheetId="51">#REF!</definedName>
    <definedName name="CONTINUL2">#REF!</definedName>
    <definedName name="CONTINUL3" localSheetId="8">#REF!</definedName>
    <definedName name="CONTINUL3" localSheetId="53">#REF!</definedName>
    <definedName name="CONTINUL3" localSheetId="17">#REF!</definedName>
    <definedName name="CONTINUL3" localSheetId="7">#REF!</definedName>
    <definedName name="CONTINUL3" localSheetId="54">#REF!</definedName>
    <definedName name="CONTINUL3" localSheetId="10">#REF!</definedName>
    <definedName name="CONTINUL3" localSheetId="51">#REF!</definedName>
    <definedName name="CONTINUL3">#REF!</definedName>
    <definedName name="COPYI" localSheetId="8">#REF!</definedName>
    <definedName name="COPYI" localSheetId="53">#REF!</definedName>
    <definedName name="COPYI" localSheetId="17">#REF!</definedName>
    <definedName name="COPYI" localSheetId="7">#REF!</definedName>
    <definedName name="COPYI" localSheetId="54">#REF!</definedName>
    <definedName name="COPYI" localSheetId="10">#REF!</definedName>
    <definedName name="COPYI" localSheetId="51">#REF!</definedName>
    <definedName name="COPYI">#REF!</definedName>
    <definedName name="CORREL" localSheetId="10">#REF!</definedName>
    <definedName name="CORREL" localSheetId="51">#REF!</definedName>
    <definedName name="CORREL">#REF!</definedName>
    <definedName name="CORREL_2" localSheetId="10">#REF!</definedName>
    <definedName name="CORREL_2" localSheetId="51">#REF!</definedName>
    <definedName name="CORREL_2">#REF!</definedName>
    <definedName name="COST" localSheetId="10">#REF!</definedName>
    <definedName name="COST" localSheetId="51">#REF!</definedName>
    <definedName name="COST">#REF!</definedName>
    <definedName name="COUNTER" localSheetId="8">#REF!</definedName>
    <definedName name="COUNTER" localSheetId="53">#REF!</definedName>
    <definedName name="COUNTER" localSheetId="17">#REF!</definedName>
    <definedName name="COUNTER" localSheetId="7">#REF!</definedName>
    <definedName name="COUNTER" localSheetId="54">#REF!</definedName>
    <definedName name="COUNTER" localSheetId="10">#REF!</definedName>
    <definedName name="COUNTER" localSheetId="51">#REF!</definedName>
    <definedName name="COUNTER">#REF!</definedName>
    <definedName name="COUNTERE" localSheetId="8">#REF!</definedName>
    <definedName name="COUNTERE" localSheetId="53">#REF!</definedName>
    <definedName name="COUNTERE" localSheetId="17">#REF!</definedName>
    <definedName name="COUNTERE" localSheetId="7">#REF!</definedName>
    <definedName name="COUNTERE" localSheetId="54">#REF!</definedName>
    <definedName name="COUNTERE" localSheetId="10">#REF!</definedName>
    <definedName name="COUNTERE" localSheetId="51">#REF!</definedName>
    <definedName name="COUNTERE">#REF!</definedName>
    <definedName name="COUNTERF" localSheetId="8">#REF!</definedName>
    <definedName name="COUNTERF" localSheetId="53">#REF!</definedName>
    <definedName name="COUNTERF" localSheetId="17">#REF!</definedName>
    <definedName name="COUNTERF" localSheetId="7">#REF!</definedName>
    <definedName name="COUNTERF" localSheetId="54">#REF!</definedName>
    <definedName name="COUNTERF" localSheetId="10">#REF!</definedName>
    <definedName name="COUNTERF" localSheetId="51">#REF!</definedName>
    <definedName name="COUNTERF">#REF!</definedName>
    <definedName name="COUNTERI" localSheetId="8">#REF!</definedName>
    <definedName name="COUNTERI" localSheetId="53">#REF!</definedName>
    <definedName name="COUNTERI" localSheetId="17">#REF!</definedName>
    <definedName name="COUNTERI" localSheetId="7">#REF!</definedName>
    <definedName name="COUNTERI" localSheetId="54">#REF!</definedName>
    <definedName name="COUNTERI" localSheetId="10">#REF!</definedName>
    <definedName name="COUNTERI" localSheetId="51">#REF!</definedName>
    <definedName name="COUNTERI">#REF!</definedName>
    <definedName name="Cover" localSheetId="20">#REF!</definedName>
    <definedName name="Cover" localSheetId="46">#REF!</definedName>
    <definedName name="Cover" localSheetId="14">#REF!</definedName>
    <definedName name="Cover" localSheetId="47">#REF!</definedName>
    <definedName name="Cover" localSheetId="13">#REF!</definedName>
    <definedName name="Cover" localSheetId="48">#REF!</definedName>
    <definedName name="Cover" localSheetId="6">#REF!</definedName>
    <definedName name="Cover" localSheetId="55">#REF!</definedName>
    <definedName name="Cover" localSheetId="16">#REF!</definedName>
    <definedName name="Cover" localSheetId="44">#REF!</definedName>
    <definedName name="Cover" localSheetId="15">#REF!</definedName>
    <definedName name="Cover" localSheetId="45">#REF!</definedName>
    <definedName name="Cover" localSheetId="11">#REF!</definedName>
    <definedName name="Cover" localSheetId="50">#REF!</definedName>
    <definedName name="Cover" localSheetId="8">#REF!</definedName>
    <definedName name="Cover" localSheetId="53">#REF!</definedName>
    <definedName name="Cover" localSheetId="17">[2]Cover!$B$5:$G$67</definedName>
    <definedName name="Cover" localSheetId="7">#REF!</definedName>
    <definedName name="Cover" localSheetId="54">#REF!</definedName>
    <definedName name="Cover" localSheetId="4">#REF!</definedName>
    <definedName name="Cover" localSheetId="57">#REF!</definedName>
    <definedName name="Cover" localSheetId="9">#REF!</definedName>
    <definedName name="Cover" localSheetId="52">#REF!</definedName>
    <definedName name="Cover">#REF!</definedName>
    <definedName name="COVER1P" localSheetId="14">#REF!</definedName>
    <definedName name="COVER1P" localSheetId="47">#REF!</definedName>
    <definedName name="COVER1P" localSheetId="13">#REF!</definedName>
    <definedName name="COVER1P" localSheetId="48">#REF!</definedName>
    <definedName name="COVER1P" localSheetId="6">#REF!</definedName>
    <definedName name="COVER1P" localSheetId="55">#REF!</definedName>
    <definedName name="COVER1P" localSheetId="8">#REF!</definedName>
    <definedName name="COVER1P" localSheetId="53">#REF!</definedName>
    <definedName name="COVER1P" localSheetId="17">#REF!</definedName>
    <definedName name="COVER1P" localSheetId="7">#REF!</definedName>
    <definedName name="COVER1P" localSheetId="54">#REF!</definedName>
    <definedName name="COVER1P" localSheetId="4">#REF!</definedName>
    <definedName name="COVER1P" localSheetId="57">#REF!</definedName>
    <definedName name="COVER1P" localSheetId="10">#REF!</definedName>
    <definedName name="COVER1P" localSheetId="51">#REF!</definedName>
    <definedName name="COVER1P" localSheetId="9">#REF!</definedName>
    <definedName name="COVER1P" localSheetId="52">#REF!</definedName>
    <definedName name="COVER1P">#REF!</definedName>
    <definedName name="Cover2">[3]Cover!$B$5:$G$67</definedName>
    <definedName name="crr" localSheetId="14">#REF!</definedName>
    <definedName name="crr" localSheetId="47">#REF!</definedName>
    <definedName name="crr" localSheetId="13">#REF!</definedName>
    <definedName name="crr" localSheetId="48">#REF!</definedName>
    <definedName name="crr" localSheetId="6">#REF!</definedName>
    <definedName name="crr" localSheetId="55">#REF!</definedName>
    <definedName name="crr" localSheetId="8">#REF!</definedName>
    <definedName name="crr" localSheetId="53">#REF!</definedName>
    <definedName name="crr" localSheetId="7">#REF!</definedName>
    <definedName name="crr" localSheetId="54">#REF!</definedName>
    <definedName name="crr" localSheetId="4">#REF!</definedName>
    <definedName name="crr" localSheetId="57">#REF!</definedName>
    <definedName name="crr" localSheetId="10">#REF!</definedName>
    <definedName name="crr" localSheetId="51">#REF!</definedName>
    <definedName name="crr" localSheetId="9">#REF!</definedName>
    <definedName name="crr" localSheetId="52">#REF!</definedName>
    <definedName name="crr">#REF!</definedName>
    <definedName name="crrelate" localSheetId="10">#REF!</definedName>
    <definedName name="crrelate" localSheetId="51">#REF!</definedName>
    <definedName name="crrelate">#REF!</definedName>
    <definedName name="cst" localSheetId="10">#REF!</definedName>
    <definedName name="cst" localSheetId="51">#REF!</definedName>
    <definedName name="cst">#REF!</definedName>
    <definedName name="DISTRICTS" localSheetId="8">#REF!</definedName>
    <definedName name="DISTRICTS" localSheetId="53">#REF!</definedName>
    <definedName name="DISTRICTS" localSheetId="17">#REF!</definedName>
    <definedName name="DISTRICTS" localSheetId="7">#REF!</definedName>
    <definedName name="DISTRICTS" localSheetId="54">#REF!</definedName>
    <definedName name="DISTRICTS" localSheetId="10">#REF!</definedName>
    <definedName name="DISTRICTS" localSheetId="51">#REF!</definedName>
    <definedName name="DISTRICTS">#REF!</definedName>
    <definedName name="END" localSheetId="8">#REF!</definedName>
    <definedName name="END" localSheetId="53">#REF!</definedName>
    <definedName name="END" localSheetId="17">#REF!</definedName>
    <definedName name="END" localSheetId="7">#REF!</definedName>
    <definedName name="END" localSheetId="54">#REF!</definedName>
    <definedName name="END" localSheetId="10">#REF!</definedName>
    <definedName name="END" localSheetId="51">#REF!</definedName>
    <definedName name="END">#REF!</definedName>
    <definedName name="ENDG" localSheetId="8">#REF!</definedName>
    <definedName name="ENDG" localSheetId="53">#REF!</definedName>
    <definedName name="ENDG" localSheetId="17">#REF!</definedName>
    <definedName name="ENDG" localSheetId="7">#REF!</definedName>
    <definedName name="ENDG" localSheetId="54">#REF!</definedName>
    <definedName name="ENDG" localSheetId="10">#REF!</definedName>
    <definedName name="ENDG" localSheetId="51">#REF!</definedName>
    <definedName name="ENDG">#REF!</definedName>
    <definedName name="ENDH" localSheetId="8">#REF!</definedName>
    <definedName name="ENDH" localSheetId="53">#REF!</definedName>
    <definedName name="ENDH" localSheetId="17">#REF!</definedName>
    <definedName name="ENDH" localSheetId="7">#REF!</definedName>
    <definedName name="ENDH" localSheetId="54">#REF!</definedName>
    <definedName name="ENDH" localSheetId="10">#REF!</definedName>
    <definedName name="ENDH" localSheetId="51">#REF!</definedName>
    <definedName name="ENDH">#REF!</definedName>
    <definedName name="ENDTIME" localSheetId="8">#REF!</definedName>
    <definedName name="ENDTIME" localSheetId="53">#REF!</definedName>
    <definedName name="ENDTIME" localSheetId="17">#REF!</definedName>
    <definedName name="ENDTIME" localSheetId="7">#REF!</definedName>
    <definedName name="ENDTIME" localSheetId="54">#REF!</definedName>
    <definedName name="ENDTIME" localSheetId="10">#REF!</definedName>
    <definedName name="ENDTIME" localSheetId="51">#REF!</definedName>
    <definedName name="ENDTIME">#REF!</definedName>
    <definedName name="EXIT" localSheetId="10">#REF!</definedName>
    <definedName name="EXIT" localSheetId="51">#REF!</definedName>
    <definedName name="EXIT">#REF!</definedName>
    <definedName name="Facts" localSheetId="20">#REF!</definedName>
    <definedName name="Facts" localSheetId="46">#REF!</definedName>
    <definedName name="Facts" localSheetId="14">#REF!</definedName>
    <definedName name="Facts" localSheetId="47">#REF!</definedName>
    <definedName name="Facts" localSheetId="13">#REF!</definedName>
    <definedName name="Facts" localSheetId="48">#REF!</definedName>
    <definedName name="Facts" localSheetId="6">#REF!</definedName>
    <definedName name="Facts" localSheetId="55">#REF!</definedName>
    <definedName name="Facts" localSheetId="16">#REF!</definedName>
    <definedName name="Facts" localSheetId="44">#REF!</definedName>
    <definedName name="Facts" localSheetId="15">#REF!</definedName>
    <definedName name="Facts" localSheetId="45">#REF!</definedName>
    <definedName name="Facts" localSheetId="11">#REF!</definedName>
    <definedName name="Facts" localSheetId="50">#REF!</definedName>
    <definedName name="Facts" localSheetId="8">#REF!</definedName>
    <definedName name="Facts" localSheetId="53">#REF!</definedName>
    <definedName name="Facts" localSheetId="17">[2]Facts!$B$4:$J$42</definedName>
    <definedName name="Facts" localSheetId="7">#REF!</definedName>
    <definedName name="Facts" localSheetId="54">#REF!</definedName>
    <definedName name="Facts" localSheetId="4">#REF!</definedName>
    <definedName name="Facts" localSheetId="57">#REF!</definedName>
    <definedName name="Facts" localSheetId="9">#REF!</definedName>
    <definedName name="Facts" localSheetId="52">#REF!</definedName>
    <definedName name="Facts">#REF!</definedName>
    <definedName name="FACTSHEET" localSheetId="14">#REF!</definedName>
    <definedName name="FACTSHEET" localSheetId="47">#REF!</definedName>
    <definedName name="FACTSHEET" localSheetId="13">#REF!</definedName>
    <definedName name="FACTSHEET" localSheetId="48">#REF!</definedName>
    <definedName name="FACTSHEET" localSheetId="6">#REF!</definedName>
    <definedName name="FACTSHEET" localSheetId="55">#REF!</definedName>
    <definedName name="FACTSHEET" localSheetId="8">#REF!</definedName>
    <definedName name="FACTSHEET" localSheetId="53">#REF!</definedName>
    <definedName name="FACTSHEET" localSheetId="17">#REF!</definedName>
    <definedName name="FACTSHEET" localSheetId="7">#REF!</definedName>
    <definedName name="FACTSHEET" localSheetId="54">#REF!</definedName>
    <definedName name="FACTSHEET" localSheetId="4">#REF!</definedName>
    <definedName name="FACTSHEET" localSheetId="57">#REF!</definedName>
    <definedName name="FACTSHEET" localSheetId="10">#REF!</definedName>
    <definedName name="FACTSHEET" localSheetId="51">#REF!</definedName>
    <definedName name="FACTSHEET" localSheetId="9">#REF!</definedName>
    <definedName name="FACTSHEET" localSheetId="52">#REF!</definedName>
    <definedName name="FACTSHEET">#REF!</definedName>
    <definedName name="FINISH" localSheetId="8">#REF!</definedName>
    <definedName name="FINISH" localSheetId="53">#REF!</definedName>
    <definedName name="FINISH" localSheetId="17">#REF!</definedName>
    <definedName name="FINISH" localSheetId="7">#REF!</definedName>
    <definedName name="FINISH" localSheetId="54">#REF!</definedName>
    <definedName name="FINISH" localSheetId="10">#REF!</definedName>
    <definedName name="FINISH" localSheetId="51">#REF!</definedName>
    <definedName name="FINISH">#REF!</definedName>
    <definedName name="FINISHG" localSheetId="8">#REF!</definedName>
    <definedName name="FINISHG" localSheetId="53">#REF!</definedName>
    <definedName name="FINISHG" localSheetId="17">#REF!</definedName>
    <definedName name="FINISHG" localSheetId="7">#REF!</definedName>
    <definedName name="FINISHG" localSheetId="54">#REF!</definedName>
    <definedName name="FINISHG" localSheetId="10">#REF!</definedName>
    <definedName name="FINISHG" localSheetId="51">#REF!</definedName>
    <definedName name="FINISHG">#REF!</definedName>
    <definedName name="FINISHH" localSheetId="8">#REF!</definedName>
    <definedName name="FINISHH" localSheetId="53">#REF!</definedName>
    <definedName name="FINISHH" localSheetId="17">#REF!</definedName>
    <definedName name="FINISHH" localSheetId="7">#REF!</definedName>
    <definedName name="FINISHH" localSheetId="54">#REF!</definedName>
    <definedName name="FINISHH" localSheetId="10">#REF!</definedName>
    <definedName name="FINISHH" localSheetId="51">#REF!</definedName>
    <definedName name="FINISHH">#REF!</definedName>
    <definedName name="GENLINFO" localSheetId="10">#REF!</definedName>
    <definedName name="GENLINFO" localSheetId="51">#REF!</definedName>
    <definedName name="GENLINFO">#REF!</definedName>
    <definedName name="Grid_531" localSheetId="20">#REF!</definedName>
    <definedName name="Grid_531" localSheetId="46">#REF!</definedName>
    <definedName name="Grid_531" localSheetId="11">#REF!</definedName>
    <definedName name="Grid_531" localSheetId="50">#REF!</definedName>
    <definedName name="Grid_531" localSheetId="17">[1]Input!$AK$109</definedName>
    <definedName name="Grid_531">#REF!</definedName>
    <definedName name="Grid_Mkt" localSheetId="20">#REF!</definedName>
    <definedName name="Grid_Mkt" localSheetId="46">#REF!</definedName>
    <definedName name="Grid_Mkt" localSheetId="11">#REF!</definedName>
    <definedName name="Grid_Mkt" localSheetId="50">#REF!</definedName>
    <definedName name="Grid_Mkt" localSheetId="17">[1]Input!$AK$113</definedName>
    <definedName name="Grid_Mkt">#REF!</definedName>
    <definedName name="IN_CHAR" localSheetId="14">#REF!</definedName>
    <definedName name="IN_CHAR" localSheetId="47">#REF!</definedName>
    <definedName name="IN_CHAR" localSheetId="13">#REF!</definedName>
    <definedName name="IN_CHAR" localSheetId="48">#REF!</definedName>
    <definedName name="IN_CHAR" localSheetId="6">#REF!</definedName>
    <definedName name="IN_CHAR" localSheetId="55">#REF!</definedName>
    <definedName name="IN_CHAR" localSheetId="8">#REF!</definedName>
    <definedName name="IN_CHAR" localSheetId="53">#REF!</definedName>
    <definedName name="IN_CHAR" localSheetId="17">#REF!</definedName>
    <definedName name="IN_CHAR" localSheetId="7">#REF!</definedName>
    <definedName name="IN_CHAR" localSheetId="54">#REF!</definedName>
    <definedName name="IN_CHAR" localSheetId="4">#REF!</definedName>
    <definedName name="IN_CHAR" localSheetId="57">#REF!</definedName>
    <definedName name="IN_CHAR" localSheetId="10">#REF!</definedName>
    <definedName name="IN_CHAR" localSheetId="51">#REF!</definedName>
    <definedName name="IN_CHAR" localSheetId="9">#REF!</definedName>
    <definedName name="IN_CHAR" localSheetId="52">#REF!</definedName>
    <definedName name="IN_CHAR">#REF!</definedName>
    <definedName name="INCOME" localSheetId="10">#REF!</definedName>
    <definedName name="INCOME" localSheetId="51">#REF!</definedName>
    <definedName name="INCOME">#REF!</definedName>
    <definedName name="INCOME2" localSheetId="10">#REF!</definedName>
    <definedName name="INCOME2" localSheetId="51">#REF!</definedName>
    <definedName name="INCOME2">#REF!</definedName>
    <definedName name="INSERTJ" localSheetId="8">#REF!</definedName>
    <definedName name="INSERTJ" localSheetId="53">#REF!</definedName>
    <definedName name="INSERTJ" localSheetId="17">#REF!</definedName>
    <definedName name="INSERTJ" localSheetId="7">#REF!</definedName>
    <definedName name="INSERTJ" localSheetId="54">#REF!</definedName>
    <definedName name="INSERTJ" localSheetId="10">#REF!</definedName>
    <definedName name="INSERTJ" localSheetId="51">#REF!</definedName>
    <definedName name="INSERTJ">#REF!</definedName>
    <definedName name="INSERTK" localSheetId="8">#REF!</definedName>
    <definedName name="INSERTK" localSheetId="53">#REF!</definedName>
    <definedName name="INSERTK" localSheetId="17">#REF!</definedName>
    <definedName name="INSERTK" localSheetId="7">#REF!</definedName>
    <definedName name="INSERTK" localSheetId="54">#REF!</definedName>
    <definedName name="INSERTK" localSheetId="10">#REF!</definedName>
    <definedName name="INSERTK" localSheetId="51">#REF!</definedName>
    <definedName name="INSERTK">#REF!</definedName>
    <definedName name="INSERTL" localSheetId="8">#REF!</definedName>
    <definedName name="INSERTL" localSheetId="53">#REF!</definedName>
    <definedName name="INSERTL" localSheetId="17">#REF!</definedName>
    <definedName name="INSERTL" localSheetId="7">#REF!</definedName>
    <definedName name="INSERTL" localSheetId="54">#REF!</definedName>
    <definedName name="INSERTL" localSheetId="10">#REF!</definedName>
    <definedName name="INSERTL" localSheetId="51">#REF!</definedName>
    <definedName name="INSERTL">#REF!</definedName>
    <definedName name="IVOS" localSheetId="8">#REF!</definedName>
    <definedName name="IVOS" localSheetId="53">#REF!</definedName>
    <definedName name="IVOS" localSheetId="17">#REF!</definedName>
    <definedName name="IVOS" localSheetId="7">#REF!</definedName>
    <definedName name="IVOS" localSheetId="54">#REF!</definedName>
    <definedName name="IVOS" localSheetId="10">#REF!</definedName>
    <definedName name="IVOS" localSheetId="51">#REF!</definedName>
    <definedName name="IVOS">#REF!</definedName>
    <definedName name="IVOSG" localSheetId="8">#REF!</definedName>
    <definedName name="IVOSG" localSheetId="53">#REF!</definedName>
    <definedName name="IVOSG" localSheetId="17">#REF!</definedName>
    <definedName name="IVOSG" localSheetId="7">#REF!</definedName>
    <definedName name="IVOSG" localSheetId="54">#REF!</definedName>
    <definedName name="IVOSG" localSheetId="10">#REF!</definedName>
    <definedName name="IVOSG" localSheetId="51">#REF!</definedName>
    <definedName name="IVOSG">#REF!</definedName>
    <definedName name="KEY" localSheetId="8">#REF!</definedName>
    <definedName name="KEY" localSheetId="53">#REF!</definedName>
    <definedName name="KEY" localSheetId="17">#REF!</definedName>
    <definedName name="KEY" localSheetId="7">#REF!</definedName>
    <definedName name="KEY" localSheetId="54">#REF!</definedName>
    <definedName name="KEY" localSheetId="10">#REF!</definedName>
    <definedName name="KEY" localSheetId="51">#REF!</definedName>
    <definedName name="KEY">#REF!</definedName>
    <definedName name="LABEL" localSheetId="8">#REF!</definedName>
    <definedName name="LABEL" localSheetId="53">#REF!</definedName>
    <definedName name="LABEL" localSheetId="17">#REF!</definedName>
    <definedName name="LABEL" localSheetId="7">#REF!</definedName>
    <definedName name="LABEL" localSheetId="54">#REF!</definedName>
    <definedName name="LABEL" localSheetId="10">#REF!</definedName>
    <definedName name="LABEL" localSheetId="51">#REF!</definedName>
    <definedName name="LABEL">#REF!</definedName>
    <definedName name="LABEL1" localSheetId="8">#REF!</definedName>
    <definedName name="LABEL1" localSheetId="53">#REF!</definedName>
    <definedName name="LABEL1" localSheetId="17">#REF!</definedName>
    <definedName name="LABEL1" localSheetId="7">#REF!</definedName>
    <definedName name="LABEL1" localSheetId="54">#REF!</definedName>
    <definedName name="LABEL1" localSheetId="10">#REF!</definedName>
    <definedName name="LABEL1" localSheetId="51">#REF!</definedName>
    <definedName name="LABEL1">#REF!</definedName>
    <definedName name="landcomps" localSheetId="10">#REF!</definedName>
    <definedName name="landcomps" localSheetId="51">#REF!</definedName>
    <definedName name="landcomps">#REF!</definedName>
    <definedName name="LeaseupPrintArea">#REF!</definedName>
    <definedName name="LOOP" localSheetId="8">#REF!</definedName>
    <definedName name="LOOP" localSheetId="53">#REF!</definedName>
    <definedName name="LOOP" localSheetId="17">#REF!</definedName>
    <definedName name="LOOP" localSheetId="7">#REF!</definedName>
    <definedName name="LOOP" localSheetId="54">#REF!</definedName>
    <definedName name="LOOP" localSheetId="10">#REF!</definedName>
    <definedName name="LOOP" localSheetId="51">#REF!</definedName>
    <definedName name="LOOP">#REF!</definedName>
    <definedName name="LOOP2" localSheetId="8">#REF!</definedName>
    <definedName name="LOOP2" localSheetId="53">#REF!</definedName>
    <definedName name="LOOP2" localSheetId="17">#REF!</definedName>
    <definedName name="LOOP2" localSheetId="7">#REF!</definedName>
    <definedName name="LOOP2" localSheetId="54">#REF!</definedName>
    <definedName name="LOOP2" localSheetId="10">#REF!</definedName>
    <definedName name="LOOP2" localSheetId="51">#REF!</definedName>
    <definedName name="LOOP2">#REF!</definedName>
    <definedName name="Lower_Bar" localSheetId="20">#REF!</definedName>
    <definedName name="Lower_Bar" localSheetId="46">#REF!</definedName>
    <definedName name="Lower_Bar" localSheetId="11">#REF!</definedName>
    <definedName name="Lower_Bar" localSheetId="50">#REF!</definedName>
    <definedName name="Lower_Bar" localSheetId="17">[4]LinearRegModel!$T$7</definedName>
    <definedName name="Lower_Bar">#REF!</definedName>
    <definedName name="LUE" localSheetId="14">#REF!</definedName>
    <definedName name="LUE" localSheetId="47">#REF!</definedName>
    <definedName name="LUE" localSheetId="13">#REF!</definedName>
    <definedName name="LUE" localSheetId="48">#REF!</definedName>
    <definedName name="LUE" localSheetId="6">#REF!</definedName>
    <definedName name="LUE" localSheetId="55">#REF!</definedName>
    <definedName name="LUE" localSheetId="8">#REF!</definedName>
    <definedName name="LUE" localSheetId="53">#REF!</definedName>
    <definedName name="LUE" localSheetId="17">#REF!</definedName>
    <definedName name="LUE" localSheetId="7">#REF!</definedName>
    <definedName name="LUE" localSheetId="54">#REF!</definedName>
    <definedName name="LUE" localSheetId="4">#REF!</definedName>
    <definedName name="LUE" localSheetId="57">#REF!</definedName>
    <definedName name="LUE" localSheetId="10">#REF!</definedName>
    <definedName name="LUE" localSheetId="51">#REF!</definedName>
    <definedName name="LUE" localSheetId="9">#REF!</definedName>
    <definedName name="LUE" localSheetId="52">#REF!</definedName>
    <definedName name="LUE">#REF!</definedName>
    <definedName name="LUEP" localSheetId="8">#REF!</definedName>
    <definedName name="LUEP" localSheetId="53">#REF!</definedName>
    <definedName name="LUEP" localSheetId="17">#REF!</definedName>
    <definedName name="LUEP" localSheetId="7">#REF!</definedName>
    <definedName name="LUEP" localSheetId="54">#REF!</definedName>
    <definedName name="LUEP" localSheetId="10">#REF!</definedName>
    <definedName name="LUEP" localSheetId="51">#REF!</definedName>
    <definedName name="LUEP">#REF!</definedName>
    <definedName name="MACRO" localSheetId="8">#REF!</definedName>
    <definedName name="MACRO" localSheetId="53">#REF!</definedName>
    <definedName name="MACRO" localSheetId="17">#REF!</definedName>
    <definedName name="MACRO" localSheetId="7">#REF!</definedName>
    <definedName name="MACRO" localSheetId="54">#REF!</definedName>
    <definedName name="MACRO" localSheetId="10">#REF!</definedName>
    <definedName name="MACRO" localSheetId="51">#REF!</definedName>
    <definedName name="MACRO">#REF!</definedName>
    <definedName name="MACROG" localSheetId="8">#REF!</definedName>
    <definedName name="MACROG" localSheetId="53">#REF!</definedName>
    <definedName name="MACROG" localSheetId="17">#REF!</definedName>
    <definedName name="MACROG" localSheetId="7">#REF!</definedName>
    <definedName name="MACROG" localSheetId="54">#REF!</definedName>
    <definedName name="MACROG" localSheetId="10">#REF!</definedName>
    <definedName name="MACROG" localSheetId="51">#REF!</definedName>
    <definedName name="MACROG">#REF!</definedName>
    <definedName name="MACROH" localSheetId="8">#REF!</definedName>
    <definedName name="MACROH" localSheetId="53">#REF!</definedName>
    <definedName name="MACROH" localSheetId="17">#REF!</definedName>
    <definedName name="MACROH" localSheetId="7">#REF!</definedName>
    <definedName name="MACROH" localSheetId="54">#REF!</definedName>
    <definedName name="MACROH" localSheetId="10">#REF!</definedName>
    <definedName name="MACROH" localSheetId="51">#REF!</definedName>
    <definedName name="MACROH">#REF!</definedName>
    <definedName name="MENU" localSheetId="10">#REF!</definedName>
    <definedName name="MENU" localSheetId="51">#REF!</definedName>
    <definedName name="MENU">#REF!</definedName>
    <definedName name="MHome" localSheetId="20">#REF!</definedName>
    <definedName name="MHome" localSheetId="46">#REF!</definedName>
    <definedName name="MHome" localSheetId="11">#REF!</definedName>
    <definedName name="MHome" localSheetId="50">#REF!</definedName>
    <definedName name="MHome" localSheetId="17">[1]Input!$AI$132</definedName>
    <definedName name="MHome">#REF!</definedName>
    <definedName name="MM_Comps" localSheetId="20">#REF!</definedName>
    <definedName name="MM_Comps" localSheetId="46">#REF!</definedName>
    <definedName name="MM_Comps" localSheetId="11">#REF!</definedName>
    <definedName name="MM_Comps" localSheetId="50">#REF!</definedName>
    <definedName name="MM_Comps" localSheetId="17">[1]Input!$AH$132</definedName>
    <definedName name="MM_Comps">#REF!</definedName>
    <definedName name="MM_Development" localSheetId="20">#REF!</definedName>
    <definedName name="MM_Development" localSheetId="46">#REF!</definedName>
    <definedName name="MM_Development" localSheetId="11">#REF!</definedName>
    <definedName name="MM_Development" localSheetId="50">#REF!</definedName>
    <definedName name="MM_Development" localSheetId="17">[1]Input!$AS$112</definedName>
    <definedName name="MM_Development">#REF!</definedName>
    <definedName name="ModD4200C" localSheetId="14">#REF!</definedName>
    <definedName name="ModD4200C" localSheetId="47">#REF!</definedName>
    <definedName name="ModD4200C" localSheetId="13">#REF!</definedName>
    <definedName name="ModD4200C" localSheetId="48">#REF!</definedName>
    <definedName name="ModD4200C" localSheetId="6">#REF!</definedName>
    <definedName name="ModD4200C" localSheetId="55">#REF!</definedName>
    <definedName name="ModD4200C" localSheetId="8">#REF!</definedName>
    <definedName name="ModD4200C" localSheetId="53">#REF!</definedName>
    <definedName name="ModD4200C" localSheetId="7">#REF!</definedName>
    <definedName name="ModD4200C" localSheetId="54">#REF!</definedName>
    <definedName name="ModD4200C" localSheetId="4">#REF!</definedName>
    <definedName name="ModD4200C" localSheetId="57">#REF!</definedName>
    <definedName name="ModD4200C" localSheetId="10">#REF!</definedName>
    <definedName name="ModD4200C" localSheetId="51">#REF!</definedName>
    <definedName name="ModD4200C" localSheetId="9">#REF!</definedName>
    <definedName name="ModD4200C" localSheetId="52">#REF!</definedName>
    <definedName name="ModD4200C">#REF!</definedName>
    <definedName name="ModD4200D" localSheetId="14">#REF!</definedName>
    <definedName name="ModD4200D" localSheetId="47">#REF!</definedName>
    <definedName name="ModD4200D" localSheetId="13">#REF!</definedName>
    <definedName name="ModD4200D" localSheetId="48">#REF!</definedName>
    <definedName name="ModD4200D" localSheetId="6">#REF!</definedName>
    <definedName name="ModD4200D" localSheetId="55">#REF!</definedName>
    <definedName name="ModD4200D" localSheetId="8">#REF!</definedName>
    <definedName name="ModD4200D" localSheetId="53">#REF!</definedName>
    <definedName name="ModD4200D" localSheetId="7">#REF!</definedName>
    <definedName name="ModD4200D" localSheetId="54">#REF!</definedName>
    <definedName name="ModD4200D" localSheetId="4">#REF!</definedName>
    <definedName name="ModD4200D" localSheetId="57">#REF!</definedName>
    <definedName name="ModD4200D" localSheetId="10">#REF!</definedName>
    <definedName name="ModD4200D" localSheetId="51">#REF!</definedName>
    <definedName name="ModD4200D" localSheetId="9">#REF!</definedName>
    <definedName name="ModD4200D" localSheetId="52">#REF!</definedName>
    <definedName name="ModD4200D">#REF!</definedName>
    <definedName name="MONTHS" localSheetId="8">#REF!</definedName>
    <definedName name="MONTHS" localSheetId="53">#REF!</definedName>
    <definedName name="MONTHS" localSheetId="17">#REF!</definedName>
    <definedName name="MONTHS" localSheetId="7">#REF!</definedName>
    <definedName name="MONTHS" localSheetId="54">#REF!</definedName>
    <definedName name="MONTHS" localSheetId="10">#REF!</definedName>
    <definedName name="MONTHS" localSheetId="51">#REF!</definedName>
    <definedName name="MONTHS">#REF!</definedName>
    <definedName name="MULTFORM" localSheetId="8">#REF!</definedName>
    <definedName name="MULTFORM" localSheetId="53">#REF!</definedName>
    <definedName name="MULTFORM" localSheetId="17">#REF!</definedName>
    <definedName name="MULTFORM" localSheetId="7">#REF!</definedName>
    <definedName name="MULTFORM" localSheetId="54">#REF!</definedName>
    <definedName name="MULTFORM" localSheetId="10">#REF!</definedName>
    <definedName name="MULTFORM" localSheetId="51">#REF!</definedName>
    <definedName name="MULTFORM">#REF!</definedName>
    <definedName name="MULTSTIP" localSheetId="8">#REF!</definedName>
    <definedName name="MULTSTIP" localSheetId="53">#REF!</definedName>
    <definedName name="MULTSTIP" localSheetId="17">#REF!</definedName>
    <definedName name="MULTSTIP" localSheetId="7">#REF!</definedName>
    <definedName name="MULTSTIP" localSheetId="54">#REF!</definedName>
    <definedName name="MULTSTIP" localSheetId="10">#REF!</definedName>
    <definedName name="MULTSTIP" localSheetId="51">#REF!</definedName>
    <definedName name="MULTSTIP">#REF!</definedName>
    <definedName name="NOTES" localSheetId="10">#REF!</definedName>
    <definedName name="NOTES" localSheetId="51">#REF!</definedName>
    <definedName name="NOTES">#REF!</definedName>
    <definedName name="NOTES_2" localSheetId="10">#REF!</definedName>
    <definedName name="NOTES_2" localSheetId="51">#REF!</definedName>
    <definedName name="NOTES_2">#REF!</definedName>
    <definedName name="OA" localSheetId="8">#REF!</definedName>
    <definedName name="OA" localSheetId="53">#REF!</definedName>
    <definedName name="OA" localSheetId="17">#REF!</definedName>
    <definedName name="OA" localSheetId="7">#REF!</definedName>
    <definedName name="OA" localSheetId="54">#REF!</definedName>
    <definedName name="OA" localSheetId="10">#REF!</definedName>
    <definedName name="OA" localSheetId="51">#REF!</definedName>
    <definedName name="OA">#REF!</definedName>
    <definedName name="OAG" localSheetId="8">#REF!</definedName>
    <definedName name="OAG" localSheetId="53">#REF!</definedName>
    <definedName name="OAG" localSheetId="17">#REF!</definedName>
    <definedName name="OAG" localSheetId="7">#REF!</definedName>
    <definedName name="OAG" localSheetId="54">#REF!</definedName>
    <definedName name="OAG" localSheetId="10">#REF!</definedName>
    <definedName name="OAG" localSheetId="51">#REF!</definedName>
    <definedName name="OAG">#REF!</definedName>
    <definedName name="OAGG" localSheetId="8">#REF!</definedName>
    <definedName name="OAGG" localSheetId="53">#REF!</definedName>
    <definedName name="OAGG" localSheetId="17">#REF!</definedName>
    <definedName name="OAGG" localSheetId="7">#REF!</definedName>
    <definedName name="OAGG" localSheetId="54">#REF!</definedName>
    <definedName name="OAGG" localSheetId="10">#REF!</definedName>
    <definedName name="OAGG" localSheetId="51">#REF!</definedName>
    <definedName name="OAGG">#REF!</definedName>
    <definedName name="OAH" localSheetId="8">#REF!</definedName>
    <definedName name="OAH" localSheetId="53">#REF!</definedName>
    <definedName name="OAH" localSheetId="17">#REF!</definedName>
    <definedName name="OAH" localSheetId="7">#REF!</definedName>
    <definedName name="OAH" localSheetId="54">#REF!</definedName>
    <definedName name="OAH" localSheetId="10">#REF!</definedName>
    <definedName name="OAH" localSheetId="51">#REF!</definedName>
    <definedName name="OAH">#REF!</definedName>
    <definedName name="OK" localSheetId="8">#REF!</definedName>
    <definedName name="OK" localSheetId="53">#REF!</definedName>
    <definedName name="OK" localSheetId="17">#REF!</definedName>
    <definedName name="OK" localSheetId="7">#REF!</definedName>
    <definedName name="OK" localSheetId="54">#REF!</definedName>
    <definedName name="OK" localSheetId="10">#REF!</definedName>
    <definedName name="OK" localSheetId="51">#REF!</definedName>
    <definedName name="OK">#REF!</definedName>
    <definedName name="OK1G" localSheetId="8">#REF!</definedName>
    <definedName name="OK1G" localSheetId="53">#REF!</definedName>
    <definedName name="OK1G" localSheetId="17">#REF!</definedName>
    <definedName name="OK1G" localSheetId="7">#REF!</definedName>
    <definedName name="OK1G" localSheetId="54">#REF!</definedName>
    <definedName name="OK1G" localSheetId="10">#REF!</definedName>
    <definedName name="OK1G" localSheetId="51">#REF!</definedName>
    <definedName name="OK1G">#REF!</definedName>
    <definedName name="OK1H" localSheetId="8">#REF!</definedName>
    <definedName name="OK1H" localSheetId="53">#REF!</definedName>
    <definedName name="OK1H" localSheetId="17">#REF!</definedName>
    <definedName name="OK1H" localSheetId="7">#REF!</definedName>
    <definedName name="OK1H" localSheetId="54">#REF!</definedName>
    <definedName name="OK1H" localSheetId="10">#REF!</definedName>
    <definedName name="OK1H" localSheetId="51">#REF!</definedName>
    <definedName name="OK1H">#REF!</definedName>
    <definedName name="OKG" localSheetId="8">#REF!</definedName>
    <definedName name="OKG" localSheetId="53">#REF!</definedName>
    <definedName name="OKG" localSheetId="17">#REF!</definedName>
    <definedName name="OKG" localSheetId="7">#REF!</definedName>
    <definedName name="OKG" localSheetId="54">#REF!</definedName>
    <definedName name="OKG" localSheetId="10">#REF!</definedName>
    <definedName name="OKG" localSheetId="51">#REF!</definedName>
    <definedName name="OKG">#REF!</definedName>
    <definedName name="OKH" localSheetId="8">#REF!</definedName>
    <definedName name="OKH" localSheetId="53">#REF!</definedName>
    <definedName name="OKH" localSheetId="17">#REF!</definedName>
    <definedName name="OKH" localSheetId="7">#REF!</definedName>
    <definedName name="OKH" localSheetId="54">#REF!</definedName>
    <definedName name="OKH" localSheetId="10">#REF!</definedName>
    <definedName name="OKH" localSheetId="51">#REF!</definedName>
    <definedName name="OKH">#REF!</definedName>
    <definedName name="PARCELF" localSheetId="8">#REF!</definedName>
    <definedName name="PARCELF" localSheetId="53">#REF!</definedName>
    <definedName name="PARCELF" localSheetId="17">#REF!</definedName>
    <definedName name="PARCELF" localSheetId="7">#REF!</definedName>
    <definedName name="PARCELF" localSheetId="54">#REF!</definedName>
    <definedName name="PARCELF" localSheetId="10">#REF!</definedName>
    <definedName name="PARCELF" localSheetId="51">#REF!</definedName>
    <definedName name="PARCELF">#REF!</definedName>
    <definedName name="Pentry" localSheetId="8">#REF!,#REF!</definedName>
    <definedName name="Pentry" localSheetId="53">#REF!,#REF!</definedName>
    <definedName name="Pentry" localSheetId="17">#REF!,#REF!</definedName>
    <definedName name="Pentry" localSheetId="7">#REF!,#REF!</definedName>
    <definedName name="Pentry" localSheetId="54">#REF!,#REF!</definedName>
    <definedName name="Pentry" localSheetId="10">#REF!,#REF!</definedName>
    <definedName name="Pentry" localSheetId="51">#REF!,#REF!</definedName>
    <definedName name="Pentry">#REF!,#REF!</definedName>
    <definedName name="Pg_03Pics">#REF!</definedName>
    <definedName name="Pg_SubPic">#REF!</definedName>
    <definedName name="Photos">#REF!</definedName>
    <definedName name="PRINT" localSheetId="8">#REF!</definedName>
    <definedName name="PRINT" localSheetId="53">#REF!</definedName>
    <definedName name="PRINT" localSheetId="17">#REF!</definedName>
    <definedName name="PRINT" localSheetId="7">#REF!</definedName>
    <definedName name="PRINT" localSheetId="54">#REF!</definedName>
    <definedName name="PRINT" localSheetId="10">#REF!</definedName>
    <definedName name="PRINT" localSheetId="51">#REF!</definedName>
    <definedName name="PRINT">#REF!</definedName>
    <definedName name="PRINT_ADD" localSheetId="10">#REF!</definedName>
    <definedName name="PRINT_ADD" localSheetId="51">#REF!</definedName>
    <definedName name="PRINT_ADD">#REF!</definedName>
    <definedName name="_xlnm.Print_Area" localSheetId="2">'Arranged Comps'!$A$100:$U$109</definedName>
    <definedName name="_xlnm.Print_Area" localSheetId="59">'Arranged Comps_Clean'!$A$171:$U$180</definedName>
    <definedName name="_xlnm.Print_Area" localSheetId="21">'Cap Rate Comps'!$A$1:$K$47</definedName>
    <definedName name="_xlnm.Print_Area" localSheetId="43">'Cap Rate Comps_Clean'!$A$1:$K$47</definedName>
    <definedName name="_xlnm.Print_Area" localSheetId="20">CEA!$A$1:$AE$50</definedName>
    <definedName name="_xlnm.Print_Area" localSheetId="46">CEA_Clean!$A$1:$AE$50</definedName>
    <definedName name="_xlnm.Print_Area" localSheetId="14">'Comp Map'!$A$1:$O$39</definedName>
    <definedName name="_xlnm.Print_Area" localSheetId="47">'Comp Map_Clean'!$A$1:$O$39</definedName>
    <definedName name="_xlnm.Print_Area" localSheetId="13">'Comp Pics'!$A$1:$H$200</definedName>
    <definedName name="_xlnm.Print_Area" localSheetId="48">'Comp Pics_Clean'!$A$1:$H$150</definedName>
    <definedName name="_xlnm.Print_Area" localSheetId="6">Cover!$A$1:$J$44</definedName>
    <definedName name="_xlnm.Print_Area" localSheetId="5">'Cover Transfer'!$A$1:$E$48</definedName>
    <definedName name="_xlnm.Print_Area" localSheetId="56">'Cover Transfer_Clean'!$A$1:$E$48</definedName>
    <definedName name="_xlnm.Print_Area" localSheetId="55">Cover_Clean!$A$1:$J$44</definedName>
    <definedName name="_xlnm.Print_Area" localSheetId="16">'Direct Cap Abrv.'!$A$1:$J$41</definedName>
    <definedName name="_xlnm.Print_Area" localSheetId="44">'Direct Cap Abrv._Clean'!$A$1:$J$41</definedName>
    <definedName name="_xlnm.Print_Area" localSheetId="15">'Direct Cap Actual'!$A$1:$J$34</definedName>
    <definedName name="_xlnm.Print_Area" localSheetId="45">'Direct Cap Actual_Clean'!$A$1:$J$34</definedName>
    <definedName name="_xlnm.Print_Area" localSheetId="22">'Extra Page'!$A$1:$K$47</definedName>
    <definedName name="_xlnm.Print_Area" localSheetId="32">'Extra Page (10)'!$A$1:$K$47</definedName>
    <definedName name="_xlnm.Print_Area" localSheetId="33">'Extra Page (11)'!$A$1:$K$46</definedName>
    <definedName name="_xlnm.Print_Area" localSheetId="34">'Extra Page (12)'!$A$1:$K$48</definedName>
    <definedName name="_xlnm.Print_Area" localSheetId="25">'Extra Page (2)'!$A$1:$O$39</definedName>
    <definedName name="_xlnm.Print_Area" localSheetId="40">'Extra Page (2)_Clean'!$A$1:$K$47</definedName>
    <definedName name="_xlnm.Print_Area" localSheetId="24">'Extra Page (3)'!$A$1:$K$47</definedName>
    <definedName name="_xlnm.Print_Area" localSheetId="39">'Extra Page (3)_Clean'!$A$1:$K$47</definedName>
    <definedName name="_xlnm.Print_Area" localSheetId="26">'Extra Page (4)'!$A$1:$K$47</definedName>
    <definedName name="_xlnm.Print_Area" localSheetId="38">'Extra Page (4)_Clean'!$A$1:$K$47</definedName>
    <definedName name="_xlnm.Print_Area" localSheetId="27">'Extra Page (5)'!$A$1:$K$47</definedName>
    <definedName name="_xlnm.Print_Area" localSheetId="37">'Extra Page (5)_Clean'!$A$1:$K$47</definedName>
    <definedName name="_xlnm.Print_Area" localSheetId="28">'Extra Page (6)'!$A$1:$K$34</definedName>
    <definedName name="_xlnm.Print_Area" localSheetId="29">'Extra Page (7)'!$A$1:$K$47</definedName>
    <definedName name="_xlnm.Print_Area" localSheetId="19">'Extra Page (8)'!$A$1:$K$50</definedName>
    <definedName name="_xlnm.Print_Area" localSheetId="31">'Extra Page (9)'!$A$1:$K$49</definedName>
    <definedName name="_xlnm.Print_Area" localSheetId="41">'Extra Page_Clean'!$A$1:$K$47</definedName>
    <definedName name="_xlnm.Print_Area" localSheetId="11">'Land Grid'!$A$1:$G$45</definedName>
    <definedName name="_xlnm.Print_Area" localSheetId="50">'Land Grid_Clean'!$A$1:$G$45</definedName>
    <definedName name="_xlnm.Print_Area" localSheetId="8">'Land Narrative'!$A$1:$I$34</definedName>
    <definedName name="_xlnm.Print_Area" localSheetId="53">'Land Narrative_Clean'!$A$1:$I$34</definedName>
    <definedName name="_xlnm.Print_Area" localSheetId="23">'Lease Comps'!$A$1:$K$47</definedName>
    <definedName name="_xlnm.Print_Area" localSheetId="30">'Lease Comps (2)'!$A$1:$K$48</definedName>
    <definedName name="_xlnm.Print_Area" localSheetId="42">'Lease Comps_Clean'!$A$1:$K$47</definedName>
    <definedName name="_xlnm.Print_Area" localSheetId="17">'Lease Up'!$A$1:$P$43</definedName>
    <definedName name="_xlnm.Print_Area" localSheetId="7">Narrative!$A$1:$I$35</definedName>
    <definedName name="_xlnm.Print_Area" localSheetId="54">Narrative_Clean!$A$1:$I$35</definedName>
    <definedName name="_xlnm.Print_Area" localSheetId="1">'Proposed Stip Cover'!$A$1:$G$71</definedName>
    <definedName name="_xlnm.Print_Area" localSheetId="60">'Proposed Stip Cover_Clean'!$A$1:$G$71</definedName>
    <definedName name="_xlnm.Print_Area" localSheetId="10">'Sales Grid'!$A$1:$G$44</definedName>
    <definedName name="_xlnm.Print_Area" localSheetId="51">'Sales Grid_Clean'!$A$1:$G$44</definedName>
    <definedName name="_xlnm.Print_Area" localSheetId="9">'Subj Pics'!$A$1:$H$50</definedName>
    <definedName name="_xlnm.Print_Area" localSheetId="52">'Subj Pics_Clean'!$A$1:$H$50</definedName>
    <definedName name="_xlnm.Print_Area">#REF!</definedName>
    <definedName name="PRINT_COR1" localSheetId="14">#REF!</definedName>
    <definedName name="PRINT_COR1" localSheetId="47">#REF!</definedName>
    <definedName name="PRINT_COR1" localSheetId="13">#REF!</definedName>
    <definedName name="PRINT_COR1" localSheetId="48">#REF!</definedName>
    <definedName name="PRINT_COR1" localSheetId="6">#REF!</definedName>
    <definedName name="PRINT_COR1" localSheetId="55">#REF!</definedName>
    <definedName name="PRINT_COR1" localSheetId="8">#REF!</definedName>
    <definedName name="PRINT_COR1" localSheetId="53">#REF!</definedName>
    <definedName name="PRINT_COR1" localSheetId="7">#REF!</definedName>
    <definedName name="PRINT_COR1" localSheetId="54">#REF!</definedName>
    <definedName name="PRINT_COR1" localSheetId="4">#REF!</definedName>
    <definedName name="PRINT_COR1" localSheetId="57">#REF!</definedName>
    <definedName name="PRINT_COR1" localSheetId="10">#REF!</definedName>
    <definedName name="PRINT_COR1" localSheetId="51">#REF!</definedName>
    <definedName name="PRINT_COR1" localSheetId="9">#REF!</definedName>
    <definedName name="PRINT_COR1" localSheetId="52">#REF!</definedName>
    <definedName name="PRINT_COR1">#REF!</definedName>
    <definedName name="PRINT_COR2" localSheetId="14">#REF!</definedName>
    <definedName name="PRINT_COR2" localSheetId="47">#REF!</definedName>
    <definedName name="PRINT_COR2" localSheetId="13">#REF!</definedName>
    <definedName name="PRINT_COR2" localSheetId="48">#REF!</definedName>
    <definedName name="PRINT_COR2" localSheetId="6">#REF!</definedName>
    <definedName name="PRINT_COR2" localSheetId="55">#REF!</definedName>
    <definedName name="PRINT_COR2" localSheetId="8">#REF!</definedName>
    <definedName name="PRINT_COR2" localSheetId="53">#REF!</definedName>
    <definedName name="PRINT_COR2" localSheetId="7">#REF!</definedName>
    <definedName name="PRINT_COR2" localSheetId="54">#REF!</definedName>
    <definedName name="PRINT_COR2" localSheetId="4">#REF!</definedName>
    <definedName name="PRINT_COR2" localSheetId="57">#REF!</definedName>
    <definedName name="PRINT_COR2" localSheetId="10">#REF!</definedName>
    <definedName name="PRINT_COR2" localSheetId="51">#REF!</definedName>
    <definedName name="PRINT_COR2" localSheetId="9">#REF!</definedName>
    <definedName name="PRINT_COR2" localSheetId="52">#REF!</definedName>
    <definedName name="PRINT_COR2">#REF!</definedName>
    <definedName name="PRINT_COST" localSheetId="10">#REF!</definedName>
    <definedName name="PRINT_COST" localSheetId="51">#REF!</definedName>
    <definedName name="PRINT_COST">#REF!</definedName>
    <definedName name="PRINT_COVER" localSheetId="10">#REF!</definedName>
    <definedName name="PRINT_COVER" localSheetId="51">#REF!</definedName>
    <definedName name="PRINT_COVER">#REF!</definedName>
    <definedName name="PRINT_FACT" localSheetId="10">#REF!</definedName>
    <definedName name="PRINT_FACT" localSheetId="51">#REF!</definedName>
    <definedName name="PRINT_FACT">#REF!</definedName>
    <definedName name="PRINT_GENL" localSheetId="10">#REF!</definedName>
    <definedName name="PRINT_GENL" localSheetId="51">#REF!</definedName>
    <definedName name="PRINT_GENL">#REF!</definedName>
    <definedName name="PRINT_IMP" localSheetId="10">#REF!</definedName>
    <definedName name="PRINT_IMP" localSheetId="51">#REF!</definedName>
    <definedName name="PRINT_IMP">#REF!</definedName>
    <definedName name="PRINT_IMP2" localSheetId="10">#REF!</definedName>
    <definedName name="PRINT_IMP2" localSheetId="51">#REF!</definedName>
    <definedName name="PRINT_IMP2">#REF!</definedName>
    <definedName name="PRINT_INC" localSheetId="10">#REF!</definedName>
    <definedName name="PRINT_INC" localSheetId="51">#REF!</definedName>
    <definedName name="PRINT_INC">#REF!</definedName>
    <definedName name="PRINT_INC2" localSheetId="10">#REF!</definedName>
    <definedName name="PRINT_INC2" localSheetId="51">#REF!</definedName>
    <definedName name="PRINT_INC2">#REF!</definedName>
    <definedName name="PRINT_LND" localSheetId="10">#REF!</definedName>
    <definedName name="PRINT_LND" localSheetId="51">#REF!</definedName>
    <definedName name="PRINT_LND">#REF!</definedName>
    <definedName name="PRINT_LND2" localSheetId="10">#REF!</definedName>
    <definedName name="PRINT_LND2" localSheetId="51">#REF!</definedName>
    <definedName name="PRINT_LND2">#REF!</definedName>
    <definedName name="PRINT_NOTE1" localSheetId="10">#REF!</definedName>
    <definedName name="PRINT_NOTE1" localSheetId="51">#REF!</definedName>
    <definedName name="PRINT_NOTE1">#REF!</definedName>
    <definedName name="PRINT_NOTE2" localSheetId="10">#REF!</definedName>
    <definedName name="PRINT_NOTE2" localSheetId="51">#REF!</definedName>
    <definedName name="PRINT_NOTE2">#REF!</definedName>
    <definedName name="PRINT_RPT" localSheetId="10">#REF!</definedName>
    <definedName name="PRINT_RPT" localSheetId="51">#REF!</definedName>
    <definedName name="PRINT_RPT">#REF!</definedName>
    <definedName name="printarea" localSheetId="20">#REF!</definedName>
    <definedName name="printarea" localSheetId="46">#REF!</definedName>
    <definedName name="printarea" localSheetId="16">#REF!</definedName>
    <definedName name="printarea" localSheetId="44">#REF!</definedName>
    <definedName name="printarea" localSheetId="15">#REF!</definedName>
    <definedName name="printarea" localSheetId="45">#REF!</definedName>
    <definedName name="printarea" localSheetId="50">'Land Grid_Clean'!$B$8:$H$41</definedName>
    <definedName name="printarea" localSheetId="17">#REF!</definedName>
    <definedName name="printarea" localSheetId="1">#REF!</definedName>
    <definedName name="printarea" localSheetId="60">#REF!</definedName>
    <definedName name="printarea">'Land Grid'!$B$8:$H$41</definedName>
    <definedName name="printarea_" localSheetId="14">#REF!</definedName>
    <definedName name="printarea_" localSheetId="47">#REF!</definedName>
    <definedName name="printarea_" localSheetId="13">#REF!</definedName>
    <definedName name="printarea_" localSheetId="48">#REF!</definedName>
    <definedName name="printarea_" localSheetId="6">#REF!</definedName>
    <definedName name="printarea_" localSheetId="55">#REF!</definedName>
    <definedName name="printarea_" localSheetId="8">#REF!</definedName>
    <definedName name="printarea_" localSheetId="53">#REF!</definedName>
    <definedName name="printarea_" localSheetId="17">#REF!</definedName>
    <definedName name="printarea_" localSheetId="7">#REF!</definedName>
    <definedName name="printarea_" localSheetId="54">#REF!</definedName>
    <definedName name="printarea_" localSheetId="4">#REF!</definedName>
    <definedName name="printarea_" localSheetId="57">#REF!</definedName>
    <definedName name="printarea_" localSheetId="10">#REF!</definedName>
    <definedName name="printarea_" localSheetId="51">#REF!</definedName>
    <definedName name="printarea_" localSheetId="9">#REF!</definedName>
    <definedName name="printarea_" localSheetId="52">#REF!</definedName>
    <definedName name="printarea_">#REF!</definedName>
    <definedName name="printarea1" localSheetId="8">#REF!</definedName>
    <definedName name="printarea1" localSheetId="53">#REF!</definedName>
    <definedName name="printarea1" localSheetId="17">#REF!</definedName>
    <definedName name="printarea1" localSheetId="7">#REF!</definedName>
    <definedName name="printarea1" localSheetId="54">#REF!</definedName>
    <definedName name="printarea1" localSheetId="10">#REF!</definedName>
    <definedName name="printarea1" localSheetId="51">#REF!</definedName>
    <definedName name="printarea1">#REF!</definedName>
    <definedName name="QT" localSheetId="8">#REF!</definedName>
    <definedName name="QT" localSheetId="53">#REF!</definedName>
    <definedName name="QT" localSheetId="17">#REF!</definedName>
    <definedName name="QT" localSheetId="7">#REF!</definedName>
    <definedName name="QT" localSheetId="54">#REF!</definedName>
    <definedName name="QT" localSheetId="10">#REF!</definedName>
    <definedName name="QT" localSheetId="51">#REF!</definedName>
    <definedName name="QT">#REF!</definedName>
    <definedName name="READY" localSheetId="8">#REF!</definedName>
    <definedName name="READY" localSheetId="53">#REF!</definedName>
    <definedName name="READY" localSheetId="17">#REF!</definedName>
    <definedName name="READY" localSheetId="7">#REF!</definedName>
    <definedName name="READY" localSheetId="54">#REF!</definedName>
    <definedName name="READY" localSheetId="10">#REF!</definedName>
    <definedName name="READY" localSheetId="51">#REF!</definedName>
    <definedName name="READY">#REF!</definedName>
    <definedName name="RETURNJ" localSheetId="8">#REF!</definedName>
    <definedName name="RETURNJ" localSheetId="53">#REF!</definedName>
    <definedName name="RETURNJ" localSheetId="17">#REF!</definedName>
    <definedName name="RETURNJ" localSheetId="7">#REF!</definedName>
    <definedName name="RETURNJ" localSheetId="54">#REF!</definedName>
    <definedName name="RETURNJ" localSheetId="10">#REF!</definedName>
    <definedName name="RETURNJ" localSheetId="51">#REF!</definedName>
    <definedName name="RETURNJ">#REF!</definedName>
    <definedName name="RETURNK" localSheetId="8">#REF!</definedName>
    <definedName name="RETURNK" localSheetId="53">#REF!</definedName>
    <definedName name="RETURNK" localSheetId="17">#REF!</definedName>
    <definedName name="RETURNK" localSheetId="7">#REF!</definedName>
    <definedName name="RETURNK" localSheetId="54">#REF!</definedName>
    <definedName name="RETURNK" localSheetId="10">#REF!</definedName>
    <definedName name="RETURNK" localSheetId="51">#REF!</definedName>
    <definedName name="RETURNK">#REF!</definedName>
    <definedName name="RETURNL" localSheetId="8">#REF!</definedName>
    <definedName name="RETURNL" localSheetId="53">#REF!</definedName>
    <definedName name="RETURNL" localSheetId="17">#REF!</definedName>
    <definedName name="RETURNL" localSheetId="7">#REF!</definedName>
    <definedName name="RETURNL" localSheetId="54">#REF!</definedName>
    <definedName name="RETURNL" localSheetId="10">#REF!</definedName>
    <definedName name="RETURNL" localSheetId="51">#REF!</definedName>
    <definedName name="RETURNL">#REF!</definedName>
    <definedName name="RV_Comment" localSheetId="20">#REF!</definedName>
    <definedName name="RV_Comment" localSheetId="46">#REF!</definedName>
    <definedName name="RV_Comment" localSheetId="11">#REF!</definedName>
    <definedName name="RV_Comment" localSheetId="50">#REF!</definedName>
    <definedName name="RV_Comment" localSheetId="17">[1]Input!$AE$124</definedName>
    <definedName name="RV_Comment">#REF!</definedName>
    <definedName name="SA" localSheetId="14">#REF!</definedName>
    <definedName name="SA" localSheetId="47">#REF!</definedName>
    <definedName name="SA" localSheetId="13">#REF!</definedName>
    <definedName name="SA" localSheetId="48">#REF!</definedName>
    <definedName name="SA" localSheetId="6">#REF!</definedName>
    <definedName name="SA" localSheetId="55">#REF!</definedName>
    <definedName name="SA" localSheetId="8">#REF!</definedName>
    <definedName name="SA" localSheetId="53">#REF!</definedName>
    <definedName name="SA" localSheetId="17">#REF!</definedName>
    <definedName name="SA" localSheetId="7">#REF!</definedName>
    <definedName name="SA" localSheetId="54">#REF!</definedName>
    <definedName name="SA" localSheetId="4">#REF!</definedName>
    <definedName name="SA" localSheetId="57">#REF!</definedName>
    <definedName name="SA" localSheetId="10">#REF!</definedName>
    <definedName name="SA" localSheetId="51">#REF!</definedName>
    <definedName name="SA" localSheetId="9">#REF!</definedName>
    <definedName name="SA" localSheetId="52">#REF!</definedName>
    <definedName name="SA">#REF!</definedName>
    <definedName name="SAG" localSheetId="8">#REF!</definedName>
    <definedName name="SAG" localSheetId="53">#REF!</definedName>
    <definedName name="SAG" localSheetId="17">#REF!</definedName>
    <definedName name="SAG" localSheetId="7">#REF!</definedName>
    <definedName name="SAG" localSheetId="54">#REF!</definedName>
    <definedName name="SAG" localSheetId="10">#REF!</definedName>
    <definedName name="SAG" localSheetId="51">#REF!</definedName>
    <definedName name="SAG">#REF!</definedName>
    <definedName name="SAH" localSheetId="8">#REF!</definedName>
    <definedName name="SAH" localSheetId="53">#REF!</definedName>
    <definedName name="SAH" localSheetId="17">#REF!</definedName>
    <definedName name="SAH" localSheetId="7">#REF!</definedName>
    <definedName name="SAH" localSheetId="54">#REF!</definedName>
    <definedName name="SAH" localSheetId="10">#REF!</definedName>
    <definedName name="SAH" localSheetId="51">#REF!</definedName>
    <definedName name="SAH">#REF!</definedName>
    <definedName name="SALE_IMP" localSheetId="10">#REF!</definedName>
    <definedName name="SALE_IMP" localSheetId="51">#REF!</definedName>
    <definedName name="SALE_IMP">#REF!</definedName>
    <definedName name="SALE_IMP2" localSheetId="10">#REF!</definedName>
    <definedName name="SALE_IMP2" localSheetId="51">#REF!</definedName>
    <definedName name="SALE_IMP2">#REF!</definedName>
    <definedName name="SALE_LND" localSheetId="10">#REF!</definedName>
    <definedName name="SALE_LND" localSheetId="51">#REF!</definedName>
    <definedName name="SALE_LND">#REF!</definedName>
    <definedName name="SALE_LND2" localSheetId="10">#REF!</definedName>
    <definedName name="SALE_LND2" localSheetId="51">#REF!</definedName>
    <definedName name="SALE_LND2">#REF!</definedName>
    <definedName name="SAVE" localSheetId="10">#REF!</definedName>
    <definedName name="SAVE" localSheetId="51">#REF!</definedName>
    <definedName name="SAVE">#REF!</definedName>
    <definedName name="SF_Not_MM" localSheetId="20">#REF!</definedName>
    <definedName name="SF_Not_MM" localSheetId="46">#REF!</definedName>
    <definedName name="SF_Not_MM" localSheetId="11">#REF!</definedName>
    <definedName name="SF_Not_MM" localSheetId="50">#REF!</definedName>
    <definedName name="SF_Not_MM" localSheetId="17">[1]Input!$AJ$132</definedName>
    <definedName name="SF_Not_MM">#REF!</definedName>
    <definedName name="SKIP" localSheetId="14">#REF!</definedName>
    <definedName name="SKIP" localSheetId="47">#REF!</definedName>
    <definedName name="SKIP" localSheetId="13">#REF!</definedName>
    <definedName name="SKIP" localSheetId="48">#REF!</definedName>
    <definedName name="SKIP" localSheetId="6">#REF!</definedName>
    <definedName name="SKIP" localSheetId="55">#REF!</definedName>
    <definedName name="SKIP" localSheetId="8">#REF!</definedName>
    <definedName name="SKIP" localSheetId="53">#REF!</definedName>
    <definedName name="SKIP" localSheetId="17">#REF!</definedName>
    <definedName name="SKIP" localSheetId="7">#REF!</definedName>
    <definedName name="SKIP" localSheetId="54">#REF!</definedName>
    <definedName name="SKIP" localSheetId="4">#REF!</definedName>
    <definedName name="SKIP" localSheetId="57">#REF!</definedName>
    <definedName name="SKIP" localSheetId="10">#REF!</definedName>
    <definedName name="SKIP" localSheetId="51">#REF!</definedName>
    <definedName name="SKIP" localSheetId="9">#REF!</definedName>
    <definedName name="SKIP" localSheetId="52">#REF!</definedName>
    <definedName name="SKIP">#REF!</definedName>
    <definedName name="SKIPH" localSheetId="8">#REF!</definedName>
    <definedName name="SKIPH" localSheetId="53">#REF!</definedName>
    <definedName name="SKIPH" localSheetId="17">#REF!</definedName>
    <definedName name="SKIPH" localSheetId="7">#REF!</definedName>
    <definedName name="SKIPH" localSheetId="54">#REF!</definedName>
    <definedName name="SKIPH" localSheetId="10">#REF!</definedName>
    <definedName name="SKIPH" localSheetId="51">#REF!</definedName>
    <definedName name="SKIPH">#REF!</definedName>
    <definedName name="SPLIT" localSheetId="8">#REF!</definedName>
    <definedName name="SPLIT" localSheetId="53">#REF!</definedName>
    <definedName name="SPLIT" localSheetId="17">#REF!</definedName>
    <definedName name="SPLIT" localSheetId="7">#REF!</definedName>
    <definedName name="SPLIT" localSheetId="54">#REF!</definedName>
    <definedName name="SPLIT" localSheetId="10">#REF!</definedName>
    <definedName name="SPLIT" localSheetId="51">#REF!</definedName>
    <definedName name="SPLIT">#REF!</definedName>
    <definedName name="SPLIT_LU" localSheetId="8">#REF!</definedName>
    <definedName name="SPLIT_LU" localSheetId="53">#REF!</definedName>
    <definedName name="SPLIT_LU" localSheetId="17">#REF!</definedName>
    <definedName name="SPLIT_LU" localSheetId="7">#REF!</definedName>
    <definedName name="SPLIT_LU" localSheetId="54">#REF!</definedName>
    <definedName name="SPLIT_LU" localSheetId="10">#REF!</definedName>
    <definedName name="SPLIT_LU" localSheetId="51">#REF!</definedName>
    <definedName name="SPLIT_LU">#REF!</definedName>
    <definedName name="STIP_LTR" localSheetId="8">#REF!</definedName>
    <definedName name="STIP_LTR" localSheetId="53">#REF!</definedName>
    <definedName name="STIP_LTR" localSheetId="17">#REF!</definedName>
    <definedName name="STIP_LTR" localSheetId="7">#REF!</definedName>
    <definedName name="STIP_LTR" localSheetId="54">#REF!</definedName>
    <definedName name="STIP_LTR" localSheetId="10">#REF!</definedName>
    <definedName name="STIP_LTR" localSheetId="51">#REF!</definedName>
    <definedName name="STIP_LTR">#REF!</definedName>
    <definedName name="STIP_WD" localSheetId="8">#REF!</definedName>
    <definedName name="STIP_WD" localSheetId="53">#REF!</definedName>
    <definedName name="STIP_WD" localSheetId="17">#REF!</definedName>
    <definedName name="STIP_WD" localSheetId="7">#REF!</definedName>
    <definedName name="STIP_WD" localSheetId="54">#REF!</definedName>
    <definedName name="STIP_WD" localSheetId="10">#REF!</definedName>
    <definedName name="STIP_WD" localSheetId="51">#REF!</definedName>
    <definedName name="STIP_WD">#REF!</definedName>
    <definedName name="STIPFORM" localSheetId="8">#REF!</definedName>
    <definedName name="STIPFORM" localSheetId="53">#REF!</definedName>
    <definedName name="STIPFORM" localSheetId="17">#REF!</definedName>
    <definedName name="STIPFORM" localSheetId="7">#REF!</definedName>
    <definedName name="STIPFORM" localSheetId="54">#REF!</definedName>
    <definedName name="STIPFORM" localSheetId="10">#REF!</definedName>
    <definedName name="STIPFORM" localSheetId="51">#REF!</definedName>
    <definedName name="STIPFORM">#REF!</definedName>
    <definedName name="Sub_as_Comp" localSheetId="20">#REF!</definedName>
    <definedName name="Sub_as_Comp" localSheetId="46">#REF!</definedName>
    <definedName name="Sub_as_Comp" localSheetId="11">#REF!</definedName>
    <definedName name="Sub_as_Comp" localSheetId="50">#REF!</definedName>
    <definedName name="Sub_as_Comp" localSheetId="17">[1]Input!$AR$102</definedName>
    <definedName name="Sub_as_Comp">#REF!</definedName>
    <definedName name="Sub_PIN">#REF!</definedName>
    <definedName name="T" localSheetId="14">#REF!</definedName>
    <definedName name="T" localSheetId="47">#REF!</definedName>
    <definedName name="T" localSheetId="13">#REF!</definedName>
    <definedName name="T" localSheetId="48">#REF!</definedName>
    <definedName name="T" localSheetId="6">#REF!</definedName>
    <definedName name="T" localSheetId="55">#REF!</definedName>
    <definedName name="T" localSheetId="8">#REF!</definedName>
    <definedName name="T" localSheetId="53">#REF!</definedName>
    <definedName name="T" localSheetId="17">#REF!</definedName>
    <definedName name="T" localSheetId="7">#REF!</definedName>
    <definedName name="T" localSheetId="54">#REF!</definedName>
    <definedName name="T" localSheetId="4">#REF!</definedName>
    <definedName name="T" localSheetId="57">#REF!</definedName>
    <definedName name="T" localSheetId="10">#REF!</definedName>
    <definedName name="T" localSheetId="51">#REF!</definedName>
    <definedName name="T" localSheetId="9">#REF!</definedName>
    <definedName name="T" localSheetId="52">#REF!</definedName>
    <definedName name="T">#REF!</definedName>
    <definedName name="Tan_Gar" localSheetId="20">#REF!</definedName>
    <definedName name="Tan_Gar" localSheetId="46">#REF!</definedName>
    <definedName name="Tan_Gar" localSheetId="11">#REF!</definedName>
    <definedName name="Tan_Gar" localSheetId="50">#REF!</definedName>
    <definedName name="Tan_Gar" localSheetId="17">[1]Input!$AE$132</definedName>
    <definedName name="Tan_Gar">#REF!</definedName>
    <definedName name="TRA" localSheetId="14">#REF!</definedName>
    <definedName name="TRA" localSheetId="47">#REF!</definedName>
    <definedName name="TRA" localSheetId="13">#REF!</definedName>
    <definedName name="TRA" localSheetId="48">#REF!</definedName>
    <definedName name="TRA" localSheetId="6">#REF!</definedName>
    <definedName name="TRA" localSheetId="55">#REF!</definedName>
    <definedName name="TRA" localSheetId="8">#REF!</definedName>
    <definedName name="TRA" localSheetId="53">#REF!</definedName>
    <definedName name="TRA" localSheetId="7">#REF!</definedName>
    <definedName name="TRA" localSheetId="54">#REF!</definedName>
    <definedName name="TRA" localSheetId="4">#REF!</definedName>
    <definedName name="TRA" localSheetId="57">#REF!</definedName>
    <definedName name="TRA" localSheetId="10">#REF!</definedName>
    <definedName name="TRA" localSheetId="51">#REF!</definedName>
    <definedName name="TRA" localSheetId="9">#REF!</definedName>
    <definedName name="TRA" localSheetId="52">#REF!</definedName>
    <definedName name="TRA">#REF!</definedName>
    <definedName name="Upper_Bar" localSheetId="20">#REF!</definedName>
    <definedName name="Upper_Bar" localSheetId="46">#REF!</definedName>
    <definedName name="Upper_Bar" localSheetId="11">#REF!</definedName>
    <definedName name="Upper_Bar" localSheetId="50">#REF!</definedName>
    <definedName name="Upper_Bar" localSheetId="17">[4]LinearRegModel!$T$6</definedName>
    <definedName name="Upper_Bar">#REF!</definedName>
    <definedName name="VALUESE" localSheetId="14">#REF!</definedName>
    <definedName name="VALUESE" localSheetId="47">#REF!</definedName>
    <definedName name="VALUESE" localSheetId="13">#REF!</definedName>
    <definedName name="VALUESE" localSheetId="48">#REF!</definedName>
    <definedName name="VALUESE" localSheetId="6">#REF!</definedName>
    <definedName name="VALUESE" localSheetId="55">#REF!</definedName>
    <definedName name="VALUESE" localSheetId="8">#REF!</definedName>
    <definedName name="VALUESE" localSheetId="53">#REF!</definedName>
    <definedName name="VALUESE" localSheetId="17">#REF!</definedName>
    <definedName name="VALUESE" localSheetId="7">#REF!</definedName>
    <definedName name="VALUESE" localSheetId="54">#REF!</definedName>
    <definedName name="VALUESE" localSheetId="4">#REF!</definedName>
    <definedName name="VALUESE" localSheetId="57">#REF!</definedName>
    <definedName name="VALUESE" localSheetId="10">#REF!</definedName>
    <definedName name="VALUESE" localSheetId="51">#REF!</definedName>
    <definedName name="VALUESE" localSheetId="9">#REF!</definedName>
    <definedName name="VALUESE" localSheetId="52">#REF!</definedName>
    <definedName name="VALUESE">#REF!</definedName>
    <definedName name="VALUESI" localSheetId="8">#REF!</definedName>
    <definedName name="VALUESI" localSheetId="53">#REF!</definedName>
    <definedName name="VALUESI" localSheetId="17">#REF!</definedName>
    <definedName name="VALUESI" localSheetId="7">#REF!</definedName>
    <definedName name="VALUESI" localSheetId="54">#REF!</definedName>
    <definedName name="VALUESI" localSheetId="10">#REF!</definedName>
    <definedName name="VALUESI" localSheetId="51">#REF!</definedName>
    <definedName name="VALUESI">#REF!</definedName>
    <definedName name="wa" localSheetId="20">#REF!</definedName>
    <definedName name="wa" localSheetId="46">#REF!</definedName>
    <definedName name="wa" localSheetId="16">#REF!</definedName>
    <definedName name="wa" localSheetId="44">#REF!</definedName>
    <definedName name="wa" localSheetId="15">#REF!</definedName>
    <definedName name="wa" localSheetId="45">#REF!</definedName>
    <definedName name="wa" localSheetId="11">#REF!</definedName>
    <definedName name="wa" localSheetId="50">#REF!</definedName>
    <definedName name="wa" localSheetId="17">[5]Input!$AK$109</definedName>
    <definedName name="wa">#REF!</definedName>
    <definedName name="WITH_LTR" localSheetId="14">#REF!</definedName>
    <definedName name="WITH_LTR" localSheetId="47">#REF!</definedName>
    <definedName name="WITH_LTR" localSheetId="13">#REF!</definedName>
    <definedName name="WITH_LTR" localSheetId="48">#REF!</definedName>
    <definedName name="WITH_LTR" localSheetId="6">#REF!</definedName>
    <definedName name="WITH_LTR" localSheetId="55">#REF!</definedName>
    <definedName name="WITH_LTR" localSheetId="8">#REF!</definedName>
    <definedName name="WITH_LTR" localSheetId="53">#REF!</definedName>
    <definedName name="WITH_LTR" localSheetId="17">#REF!</definedName>
    <definedName name="WITH_LTR" localSheetId="7">#REF!</definedName>
    <definedName name="WITH_LTR" localSheetId="54">#REF!</definedName>
    <definedName name="WITH_LTR" localSheetId="4">#REF!</definedName>
    <definedName name="WITH_LTR" localSheetId="57">#REF!</definedName>
    <definedName name="WITH_LTR" localSheetId="10">#REF!</definedName>
    <definedName name="WITH_LTR" localSheetId="51">#REF!</definedName>
    <definedName name="WITH_LTR" localSheetId="9">#REF!</definedName>
    <definedName name="WITH_LTR" localSheetId="52">#REF!</definedName>
    <definedName name="WITH_LTR">#REF!</definedName>
    <definedName name="WITHDRAW" localSheetId="8">#REF!</definedName>
    <definedName name="WITHDRAW" localSheetId="53">#REF!</definedName>
    <definedName name="WITHDRAW" localSheetId="17">#REF!</definedName>
    <definedName name="WITHDRAW" localSheetId="7">#REF!</definedName>
    <definedName name="WITHDRAW" localSheetId="54">#REF!</definedName>
    <definedName name="WITHDRAW" localSheetId="10">#REF!</definedName>
    <definedName name="WITHDRAW" localSheetId="51">#REF!</definedName>
    <definedName name="WITHDRAW">#REF!</definedName>
    <definedName name="WKAREA" localSheetId="8">#REF!</definedName>
    <definedName name="WKAREA" localSheetId="53">#REF!</definedName>
    <definedName name="WKAREA" localSheetId="17">#REF!</definedName>
    <definedName name="WKAREA" localSheetId="7">#REF!</definedName>
    <definedName name="WKAREA" localSheetId="54">#REF!</definedName>
    <definedName name="WKAREA" localSheetId="10">#REF!</definedName>
    <definedName name="WKAREA" localSheetId="51">#REF!</definedName>
    <definedName name="WKAREA">#REF!</definedName>
    <definedName name="WKAREA1" localSheetId="8">#REF!</definedName>
    <definedName name="WKAREA1" localSheetId="53">#REF!</definedName>
    <definedName name="WKAREA1" localSheetId="17">#REF!</definedName>
    <definedName name="WKAREA1" localSheetId="7">#REF!</definedName>
    <definedName name="WKAREA1" localSheetId="54">#REF!</definedName>
    <definedName name="WKAREA1" localSheetId="10">#REF!</definedName>
    <definedName name="WKAREA1" localSheetId="51">#REF!</definedName>
    <definedName name="WKAREA1">#REF!</definedName>
    <definedName name="WORKSHEET" localSheetId="8">#REF!</definedName>
    <definedName name="WORKSHEET" localSheetId="53">#REF!</definedName>
    <definedName name="WORKSHEET" localSheetId="17">#REF!</definedName>
    <definedName name="WORKSHEET" localSheetId="7">#REF!</definedName>
    <definedName name="WORKSHEET" localSheetId="54">#REF!</definedName>
    <definedName name="WORKSHEET" localSheetId="10">#REF!</definedName>
    <definedName name="WORKSHEET" localSheetId="51">#REF!</definedName>
    <definedName name="WORKSHEET">#REF!</definedName>
    <definedName name="ZZ11G" localSheetId="8">#REF!</definedName>
    <definedName name="ZZ11G" localSheetId="53">#REF!</definedName>
    <definedName name="ZZ11G" localSheetId="17">#REF!</definedName>
    <definedName name="ZZ11G" localSheetId="7">#REF!</definedName>
    <definedName name="ZZ11G" localSheetId="54">#REF!</definedName>
    <definedName name="ZZ11G" localSheetId="10">#REF!</definedName>
    <definedName name="ZZ11G" localSheetId="51">#REF!</definedName>
    <definedName name="ZZ11G">#REF!</definedName>
    <definedName name="ZZ11H" localSheetId="8">#REF!</definedName>
    <definedName name="ZZ11H" localSheetId="53">#REF!</definedName>
    <definedName name="ZZ11H" localSheetId="17">#REF!</definedName>
    <definedName name="ZZ11H" localSheetId="7">#REF!</definedName>
    <definedName name="ZZ11H" localSheetId="54">#REF!</definedName>
    <definedName name="ZZ11H" localSheetId="10">#REF!</definedName>
    <definedName name="ZZ11H" localSheetId="51">#REF!</definedName>
    <definedName name="ZZ11H">#REF!</definedName>
    <definedName name="ZZ12G" localSheetId="8">#REF!</definedName>
    <definedName name="ZZ12G" localSheetId="53">#REF!</definedName>
    <definedName name="ZZ12G" localSheetId="17">#REF!</definedName>
    <definedName name="ZZ12G" localSheetId="7">#REF!</definedName>
    <definedName name="ZZ12G" localSheetId="54">#REF!</definedName>
    <definedName name="ZZ12G" localSheetId="10">#REF!</definedName>
    <definedName name="ZZ12G" localSheetId="51">#REF!</definedName>
    <definedName name="ZZ12G">#REF!</definedName>
    <definedName name="ZZ12H" localSheetId="8">#REF!</definedName>
    <definedName name="ZZ12H" localSheetId="53">#REF!</definedName>
    <definedName name="ZZ12H" localSheetId="17">#REF!</definedName>
    <definedName name="ZZ12H" localSheetId="7">#REF!</definedName>
    <definedName name="ZZ12H" localSheetId="54">#REF!</definedName>
    <definedName name="ZZ12H" localSheetId="10">#REF!</definedName>
    <definedName name="ZZ12H" localSheetId="51">#REF!</definedName>
    <definedName name="ZZ12H">#REF!</definedName>
    <definedName name="ZZ1G" localSheetId="8">#REF!</definedName>
    <definedName name="ZZ1G" localSheetId="53">#REF!</definedName>
    <definedName name="ZZ1G" localSheetId="17">#REF!</definedName>
    <definedName name="ZZ1G" localSheetId="7">#REF!</definedName>
    <definedName name="ZZ1G" localSheetId="54">#REF!</definedName>
    <definedName name="ZZ1G" localSheetId="10">#REF!</definedName>
    <definedName name="ZZ1G" localSheetId="51">#REF!</definedName>
    <definedName name="ZZ1G">#REF!</definedName>
    <definedName name="ZZ1H" localSheetId="8">#REF!</definedName>
    <definedName name="ZZ1H" localSheetId="53">#REF!</definedName>
    <definedName name="ZZ1H" localSheetId="17">#REF!</definedName>
    <definedName name="ZZ1H" localSheetId="7">#REF!</definedName>
    <definedName name="ZZ1H" localSheetId="54">#REF!</definedName>
    <definedName name="ZZ1H" localSheetId="10">#REF!</definedName>
    <definedName name="ZZ1H" localSheetId="51">#REF!</definedName>
    <definedName name="ZZ1H">#REF!</definedName>
    <definedName name="ZZ3G" localSheetId="8">#REF!</definedName>
    <definedName name="ZZ3G" localSheetId="53">#REF!</definedName>
    <definedName name="ZZ3G" localSheetId="17">#REF!</definedName>
    <definedName name="ZZ3G" localSheetId="7">#REF!</definedName>
    <definedName name="ZZ3G" localSheetId="54">#REF!</definedName>
    <definedName name="ZZ3G" localSheetId="10">#REF!</definedName>
    <definedName name="ZZ3G" localSheetId="51">#REF!</definedName>
    <definedName name="ZZ3G">#REF!</definedName>
    <definedName name="ZZ3H" localSheetId="8">#REF!</definedName>
    <definedName name="ZZ3H" localSheetId="53">#REF!</definedName>
    <definedName name="ZZ3H" localSheetId="17">#REF!</definedName>
    <definedName name="ZZ3H" localSheetId="7">#REF!</definedName>
    <definedName name="ZZ3H" localSheetId="54">#REF!</definedName>
    <definedName name="ZZ3H" localSheetId="10">#REF!</definedName>
    <definedName name="ZZ3H" localSheetId="51">#REF!</definedName>
    <definedName name="ZZ3H">#REF!</definedName>
    <definedName name="ZZF14" localSheetId="8">#REF!</definedName>
    <definedName name="ZZF14" localSheetId="53">#REF!</definedName>
    <definedName name="ZZF14" localSheetId="17">#REF!</definedName>
    <definedName name="ZZF14" localSheetId="7">#REF!</definedName>
    <definedName name="ZZF14" localSheetId="54">#REF!</definedName>
    <definedName name="ZZF14" localSheetId="10">#REF!</definedName>
    <definedName name="ZZF14" localSheetId="51">#REF!</definedName>
    <definedName name="ZZF14">#REF!</definedName>
    <definedName name="ZZI1" localSheetId="8">#REF!</definedName>
    <definedName name="ZZI1" localSheetId="53">#REF!</definedName>
    <definedName name="ZZI1" localSheetId="17">#REF!</definedName>
    <definedName name="ZZI1" localSheetId="7">#REF!</definedName>
    <definedName name="ZZI1" localSheetId="54">#REF!</definedName>
    <definedName name="ZZI1" localSheetId="10">#REF!</definedName>
    <definedName name="ZZI1" localSheetId="51">#REF!</definedName>
    <definedName name="ZZI1">#REF!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2" i="15" l="1"/>
  <c r="P2" i="15"/>
  <c r="O2" i="15"/>
  <c r="N2" i="15"/>
  <c r="I2" i="15"/>
  <c r="F2" i="15"/>
  <c r="E2" i="15"/>
  <c r="C2" i="15"/>
  <c r="B2" i="15"/>
  <c r="D39" i="1"/>
  <c r="F26" i="92"/>
  <c r="E37" i="80"/>
  <c r="D48" i="133"/>
  <c r="H45" i="133" s="1"/>
  <c r="H47" i="133" s="1"/>
  <c r="M47" i="133"/>
  <c r="M48" i="133" s="1"/>
  <c r="C10" i="132"/>
  <c r="F9" i="132"/>
  <c r="E9" i="132"/>
  <c r="G9" i="132" s="1"/>
  <c r="F8" i="132"/>
  <c r="E8" i="132"/>
  <c r="G8" i="132" s="1"/>
  <c r="F7" i="132"/>
  <c r="E7" i="132"/>
  <c r="G7" i="132" s="1"/>
  <c r="F6" i="132"/>
  <c r="E6" i="132"/>
  <c r="G6" i="132" s="1"/>
  <c r="F5" i="132"/>
  <c r="E5" i="132"/>
  <c r="G5" i="132" s="1"/>
  <c r="F4" i="132"/>
  <c r="E4" i="132"/>
  <c r="G4" i="132" s="1"/>
  <c r="F3" i="132"/>
  <c r="E3" i="132"/>
  <c r="G3" i="132" s="1"/>
  <c r="G2" i="132"/>
  <c r="F2" i="132"/>
  <c r="F10" i="132" s="1"/>
  <c r="E2" i="132"/>
  <c r="C75" i="92"/>
  <c r="D75" i="92"/>
  <c r="A11" i="52"/>
  <c r="D76" i="92"/>
  <c r="D26" i="92"/>
  <c r="D23" i="75"/>
  <c r="D5" i="131"/>
  <c r="D3" i="131"/>
  <c r="D4" i="131" s="1"/>
  <c r="P80" i="131"/>
  <c r="O80" i="131"/>
  <c r="N80" i="131"/>
  <c r="M80" i="131"/>
  <c r="L80" i="131"/>
  <c r="L82" i="131" s="1"/>
  <c r="K80" i="131"/>
  <c r="K82" i="131" s="1"/>
  <c r="J80" i="131"/>
  <c r="I80" i="131"/>
  <c r="H80" i="131"/>
  <c r="G80" i="131"/>
  <c r="F80" i="131"/>
  <c r="F82" i="131" s="1"/>
  <c r="F84" i="131" s="1"/>
  <c r="E80" i="131"/>
  <c r="E82" i="131" s="1"/>
  <c r="P76" i="131"/>
  <c r="O76" i="131"/>
  <c r="N76" i="131"/>
  <c r="M76" i="131"/>
  <c r="L76" i="131"/>
  <c r="K76" i="131"/>
  <c r="J76" i="131"/>
  <c r="I76" i="131"/>
  <c r="H76" i="131"/>
  <c r="G76" i="131"/>
  <c r="F76" i="131"/>
  <c r="E76" i="131"/>
  <c r="P70" i="131"/>
  <c r="O70" i="131"/>
  <c r="N70" i="131"/>
  <c r="M70" i="131"/>
  <c r="L70" i="131"/>
  <c r="K70" i="131"/>
  <c r="J70" i="131"/>
  <c r="I70" i="131"/>
  <c r="H70" i="131"/>
  <c r="G70" i="131"/>
  <c r="F70" i="131"/>
  <c r="E70" i="131"/>
  <c r="P54" i="131"/>
  <c r="O54" i="131"/>
  <c r="N54" i="131"/>
  <c r="M54" i="131"/>
  <c r="L54" i="131"/>
  <c r="K54" i="131"/>
  <c r="J54" i="131"/>
  <c r="I54" i="131"/>
  <c r="H54" i="131"/>
  <c r="G54" i="131"/>
  <c r="F54" i="131"/>
  <c r="E54" i="131"/>
  <c r="E56" i="131" s="1"/>
  <c r="F56" i="131" s="1"/>
  <c r="G56" i="131" s="1"/>
  <c r="H56" i="131" s="1"/>
  <c r="I56" i="131" s="1"/>
  <c r="J56" i="131" s="1"/>
  <c r="K56" i="131" s="1"/>
  <c r="L56" i="131" s="1"/>
  <c r="M56" i="131" s="1"/>
  <c r="N56" i="131" s="1"/>
  <c r="O56" i="131" s="1"/>
  <c r="P56" i="131" s="1"/>
  <c r="P48" i="131"/>
  <c r="O48" i="131"/>
  <c r="N48" i="131"/>
  <c r="M48" i="131"/>
  <c r="L48" i="131"/>
  <c r="K48" i="131"/>
  <c r="J48" i="131"/>
  <c r="I48" i="131"/>
  <c r="H48" i="131"/>
  <c r="G48" i="131"/>
  <c r="F48" i="131"/>
  <c r="E48" i="131"/>
  <c r="D7" i="131"/>
  <c r="D16" i="76"/>
  <c r="X13" i="76"/>
  <c r="W13" i="76"/>
  <c r="T16" i="76"/>
  <c r="G17" i="53"/>
  <c r="F17" i="53"/>
  <c r="E17" i="53"/>
  <c r="D17" i="53"/>
  <c r="D20" i="89"/>
  <c r="F13" i="71"/>
  <c r="E13" i="71"/>
  <c r="C15" i="71"/>
  <c r="C14" i="71"/>
  <c r="B4" i="53"/>
  <c r="A25" i="1"/>
  <c r="A6" i="89"/>
  <c r="B19" i="89"/>
  <c r="A10" i="1"/>
  <c r="C19" i="53"/>
  <c r="D8" i="89"/>
  <c r="B4" i="1"/>
  <c r="D6" i="1"/>
  <c r="C17" i="53"/>
  <c r="G10" i="132" l="1"/>
  <c r="D6" i="131"/>
  <c r="O32" i="131" s="1"/>
  <c r="K84" i="131"/>
  <c r="L84" i="131"/>
  <c r="I82" i="131"/>
  <c r="I84" i="131" s="1"/>
  <c r="J82" i="131"/>
  <c r="J84" i="131" s="1"/>
  <c r="M82" i="131"/>
  <c r="M84" i="131" s="1"/>
  <c r="E84" i="131"/>
  <c r="G82" i="131"/>
  <c r="G84" i="131" s="1"/>
  <c r="O82" i="131"/>
  <c r="O84" i="131" s="1"/>
  <c r="N82" i="131"/>
  <c r="N84" i="131" s="1"/>
  <c r="H82" i="131"/>
  <c r="H84" i="131" s="1"/>
  <c r="P82" i="131"/>
  <c r="P84" i="131" s="1"/>
  <c r="D38" i="1"/>
  <c r="B51" i="1"/>
  <c r="A17" i="75" s="1"/>
  <c r="G12" i="53"/>
  <c r="F12" i="53"/>
  <c r="E12" i="53"/>
  <c r="D12" i="53"/>
  <c r="A27" i="1"/>
  <c r="B20" i="89" s="1"/>
  <c r="A26" i="1"/>
  <c r="B18" i="89" s="1"/>
  <c r="A24" i="1"/>
  <c r="B17" i="105" s="1"/>
  <c r="A13" i="1"/>
  <c r="B15" i="89" s="1"/>
  <c r="A12" i="1"/>
  <c r="B14" i="89" s="1"/>
  <c r="A9" i="1"/>
  <c r="A12" i="89" s="1"/>
  <c r="A26" i="94"/>
  <c r="A23" i="94"/>
  <c r="A20" i="94"/>
  <c r="B10" i="94"/>
  <c r="B9" i="94"/>
  <c r="C43" i="94" s="1"/>
  <c r="B8" i="94"/>
  <c r="B4" i="94"/>
  <c r="B3" i="94"/>
  <c r="B2" i="94"/>
  <c r="B7" i="94" s="1"/>
  <c r="B1" i="94"/>
  <c r="C35" i="50"/>
  <c r="C33" i="50"/>
  <c r="C31" i="50"/>
  <c r="C29" i="50"/>
  <c r="C27" i="50"/>
  <c r="G18" i="50"/>
  <c r="D18" i="50"/>
  <c r="G16" i="50"/>
  <c r="D16" i="50"/>
  <c r="F14" i="50"/>
  <c r="F13" i="50"/>
  <c r="F12" i="50"/>
  <c r="C9" i="50"/>
  <c r="C7" i="50"/>
  <c r="C5" i="50"/>
  <c r="C3" i="50"/>
  <c r="B23" i="89"/>
  <c r="B22" i="89"/>
  <c r="D19" i="89"/>
  <c r="D18" i="89"/>
  <c r="D17" i="89"/>
  <c r="D15" i="89"/>
  <c r="D14" i="89"/>
  <c r="D13" i="89"/>
  <c r="B13" i="89"/>
  <c r="D11" i="89"/>
  <c r="D10" i="89"/>
  <c r="D9" i="89"/>
  <c r="B9" i="89"/>
  <c r="A41" i="84"/>
  <c r="F35" i="84"/>
  <c r="I35" i="84" s="1"/>
  <c r="F33" i="84"/>
  <c r="I33" i="84" s="1"/>
  <c r="F31" i="84"/>
  <c r="I31" i="84" s="1"/>
  <c r="F26" i="84"/>
  <c r="F24" i="84"/>
  <c r="A18" i="84"/>
  <c r="A14" i="84"/>
  <c r="E7" i="84"/>
  <c r="A34" i="52"/>
  <c r="A32" i="52"/>
  <c r="A29" i="52"/>
  <c r="A14" i="52"/>
  <c r="A9" i="52"/>
  <c r="A5" i="52"/>
  <c r="A33" i="78"/>
  <c r="A31" i="78"/>
  <c r="A30" i="78"/>
  <c r="A29" i="78"/>
  <c r="A23" i="78"/>
  <c r="A11" i="78"/>
  <c r="A6" i="78"/>
  <c r="F76" i="92"/>
  <c r="C76" i="92"/>
  <c r="B76" i="92"/>
  <c r="A76" i="92"/>
  <c r="E75" i="92"/>
  <c r="I8" i="89"/>
  <c r="C26" i="92"/>
  <c r="B26" i="92"/>
  <c r="A26" i="92"/>
  <c r="E25" i="92"/>
  <c r="D25" i="92"/>
  <c r="C25" i="92"/>
  <c r="G37" i="53"/>
  <c r="F37" i="53"/>
  <c r="E37" i="53"/>
  <c r="D37" i="53"/>
  <c r="G19" i="53"/>
  <c r="F19" i="53"/>
  <c r="E19" i="53"/>
  <c r="D19" i="53"/>
  <c r="C22" i="53"/>
  <c r="C38" i="53" s="1"/>
  <c r="G18" i="53"/>
  <c r="F18" i="53"/>
  <c r="E18" i="53"/>
  <c r="D18" i="53"/>
  <c r="C18" i="53"/>
  <c r="G16" i="53"/>
  <c r="F16" i="53"/>
  <c r="E16" i="53"/>
  <c r="D16" i="53"/>
  <c r="G15" i="53"/>
  <c r="E15" i="53"/>
  <c r="D15" i="53"/>
  <c r="C14" i="53"/>
  <c r="C13" i="53"/>
  <c r="G11" i="53"/>
  <c r="F11" i="53"/>
  <c r="E11" i="53"/>
  <c r="D11" i="53"/>
  <c r="C11" i="53"/>
  <c r="G10" i="53"/>
  <c r="F10" i="53"/>
  <c r="E10" i="53"/>
  <c r="D10" i="53"/>
  <c r="C10" i="53"/>
  <c r="G9" i="53"/>
  <c r="F9" i="53"/>
  <c r="E9" i="53"/>
  <c r="D9" i="53"/>
  <c r="C9" i="53"/>
  <c r="C5" i="53"/>
  <c r="C4" i="53"/>
  <c r="C3" i="53"/>
  <c r="C2" i="53"/>
  <c r="G37" i="71"/>
  <c r="F37" i="71"/>
  <c r="E37" i="71"/>
  <c r="D37" i="71"/>
  <c r="G17" i="71"/>
  <c r="G18" i="71" s="1"/>
  <c r="F17" i="71"/>
  <c r="F18" i="71" s="1"/>
  <c r="E17" i="71"/>
  <c r="E18" i="71" s="1"/>
  <c r="D17" i="71"/>
  <c r="D18" i="71" s="1"/>
  <c r="C17" i="71"/>
  <c r="E42" i="71" s="1"/>
  <c r="G15" i="71"/>
  <c r="F15" i="71"/>
  <c r="E15" i="71"/>
  <c r="D15" i="71"/>
  <c r="C16" i="71"/>
  <c r="G14" i="71"/>
  <c r="F14" i="71"/>
  <c r="E14" i="71"/>
  <c r="D14" i="71"/>
  <c r="G13" i="71"/>
  <c r="D13" i="71"/>
  <c r="C13" i="71"/>
  <c r="G12" i="71"/>
  <c r="F12" i="71"/>
  <c r="E12" i="71"/>
  <c r="D12" i="71"/>
  <c r="C12" i="71"/>
  <c r="G11" i="71"/>
  <c r="F11" i="71"/>
  <c r="E11" i="71"/>
  <c r="D11" i="71"/>
  <c r="C11" i="71"/>
  <c r="G10" i="71"/>
  <c r="F10" i="71"/>
  <c r="E10" i="71"/>
  <c r="D10" i="71"/>
  <c r="C10" i="71"/>
  <c r="C6" i="71"/>
  <c r="B6" i="71"/>
  <c r="C5" i="71"/>
  <c r="C4" i="71"/>
  <c r="C3" i="71"/>
  <c r="W44" i="93"/>
  <c r="T29" i="93"/>
  <c r="L27" i="93"/>
  <c r="N27" i="93" s="1"/>
  <c r="P24" i="93"/>
  <c r="L24" i="93"/>
  <c r="H24" i="93"/>
  <c r="N19" i="93"/>
  <c r="N20" i="93" s="1"/>
  <c r="J19" i="93"/>
  <c r="J20" i="93" s="1"/>
  <c r="F19" i="93"/>
  <c r="F20" i="93" s="1"/>
  <c r="D19" i="93"/>
  <c r="D20" i="93" s="1"/>
  <c r="D18" i="93"/>
  <c r="D17" i="93"/>
  <c r="R16" i="93"/>
  <c r="N16" i="93"/>
  <c r="J16" i="93"/>
  <c r="F16" i="93"/>
  <c r="W15" i="93"/>
  <c r="W14" i="93"/>
  <c r="N14" i="93"/>
  <c r="N15" i="93" s="1"/>
  <c r="J14" i="93"/>
  <c r="J15" i="93" s="1"/>
  <c r="F14" i="93"/>
  <c r="F15" i="93" s="1"/>
  <c r="D14" i="93"/>
  <c r="D15" i="93" s="1"/>
  <c r="W13" i="93"/>
  <c r="W12" i="93"/>
  <c r="W11" i="93"/>
  <c r="N11" i="93"/>
  <c r="J11" i="93"/>
  <c r="F11" i="93"/>
  <c r="D11" i="93"/>
  <c r="W10" i="93"/>
  <c r="W9" i="93"/>
  <c r="N9" i="93"/>
  <c r="J9" i="93"/>
  <c r="F9" i="93"/>
  <c r="D9" i="93"/>
  <c r="W8" i="93"/>
  <c r="N8" i="93"/>
  <c r="N10" i="93" s="1"/>
  <c r="N24" i="93" s="1"/>
  <c r="J8" i="93"/>
  <c r="J10" i="93" s="1"/>
  <c r="J24" i="93" s="1"/>
  <c r="F8" i="93"/>
  <c r="F10" i="93" s="1"/>
  <c r="F24" i="93" s="1"/>
  <c r="D8" i="93"/>
  <c r="D24" i="93" s="1"/>
  <c r="W7" i="93"/>
  <c r="N7" i="93"/>
  <c r="J7" i="93"/>
  <c r="F7" i="93"/>
  <c r="D7" i="93"/>
  <c r="W6" i="93"/>
  <c r="N6" i="93"/>
  <c r="J6" i="93"/>
  <c r="F6" i="93"/>
  <c r="D6" i="93"/>
  <c r="U1" i="93" s="1"/>
  <c r="C2" i="93"/>
  <c r="C1" i="93"/>
  <c r="A242" i="90"/>
  <c r="A206" i="90"/>
  <c r="E175" i="90"/>
  <c r="D175" i="90"/>
  <c r="E125" i="90"/>
  <c r="D125" i="90"/>
  <c r="E75" i="90"/>
  <c r="D75" i="90"/>
  <c r="E25" i="90"/>
  <c r="D25" i="90"/>
  <c r="A35" i="55"/>
  <c r="U24" i="55"/>
  <c r="AA26" i="80"/>
  <c r="J26" i="80"/>
  <c r="E26" i="80" s="1"/>
  <c r="AA22" i="80"/>
  <c r="E18" i="80"/>
  <c r="AC41" i="80" s="1"/>
  <c r="AC8" i="80"/>
  <c r="AA8" i="80"/>
  <c r="T8" i="80"/>
  <c r="E8" i="80"/>
  <c r="E12" i="80" s="1"/>
  <c r="E43" i="80" s="1"/>
  <c r="S4" i="80"/>
  <c r="K4" i="80"/>
  <c r="D4" i="80"/>
  <c r="AB2" i="80"/>
  <c r="E2" i="80"/>
  <c r="E16" i="76"/>
  <c r="I16" i="76"/>
  <c r="P14" i="76"/>
  <c r="F26" i="75"/>
  <c r="F24" i="75"/>
  <c r="F23" i="75"/>
  <c r="E23" i="75"/>
  <c r="A13" i="75"/>
  <c r="A8" i="75"/>
  <c r="A3" i="75"/>
  <c r="T12" i="8"/>
  <c r="T11" i="8"/>
  <c r="T10" i="8"/>
  <c r="T9" i="8"/>
  <c r="T8" i="8"/>
  <c r="T7" i="8"/>
  <c r="T6" i="8"/>
  <c r="T5" i="8"/>
  <c r="T4" i="8"/>
  <c r="K3" i="8"/>
  <c r="B37" i="1" s="1"/>
  <c r="K1" i="8"/>
  <c r="K2" i="8" s="1"/>
  <c r="T12" i="125"/>
  <c r="T11" i="125"/>
  <c r="T10" i="125"/>
  <c r="T9" i="125"/>
  <c r="T8" i="125"/>
  <c r="T7" i="125"/>
  <c r="T6" i="125"/>
  <c r="T5" i="125"/>
  <c r="T4" i="125"/>
  <c r="K3" i="125"/>
  <c r="K1" i="125"/>
  <c r="K2" i="125" s="1"/>
  <c r="F26" i="117"/>
  <c r="F24" i="117"/>
  <c r="F23" i="117"/>
  <c r="E23" i="117"/>
  <c r="D23" i="117"/>
  <c r="A13" i="117"/>
  <c r="A8" i="117"/>
  <c r="A3" i="117"/>
  <c r="E16" i="116"/>
  <c r="D16" i="116"/>
  <c r="I16" i="116" s="1"/>
  <c r="P14" i="116"/>
  <c r="E37" i="115"/>
  <c r="E41" i="115" s="1"/>
  <c r="AA26" i="115"/>
  <c r="J26" i="115"/>
  <c r="AA22" i="115"/>
  <c r="E18" i="115"/>
  <c r="AC8" i="115"/>
  <c r="AA8" i="115"/>
  <c r="T8" i="115"/>
  <c r="E8" i="115"/>
  <c r="E12" i="115" s="1"/>
  <c r="AC39" i="115" s="1"/>
  <c r="S4" i="115"/>
  <c r="K4" i="115"/>
  <c r="D4" i="115"/>
  <c r="AB2" i="115"/>
  <c r="E2" i="115"/>
  <c r="A35" i="114"/>
  <c r="U24" i="114"/>
  <c r="A242" i="113"/>
  <c r="A206" i="113"/>
  <c r="E175" i="113"/>
  <c r="D175" i="113"/>
  <c r="E125" i="113"/>
  <c r="D125" i="113"/>
  <c r="E75" i="113"/>
  <c r="D75" i="113"/>
  <c r="E25" i="113"/>
  <c r="D25" i="113"/>
  <c r="W44" i="112"/>
  <c r="T29" i="112"/>
  <c r="R29" i="112"/>
  <c r="N27" i="112"/>
  <c r="L27" i="112"/>
  <c r="U24" i="112"/>
  <c r="P24" i="112"/>
  <c r="L24" i="112"/>
  <c r="H24" i="112"/>
  <c r="U21" i="112"/>
  <c r="N19" i="112"/>
  <c r="N20" i="112" s="1"/>
  <c r="J19" i="112"/>
  <c r="J20" i="112" s="1"/>
  <c r="F19" i="112"/>
  <c r="F20" i="112" s="1"/>
  <c r="D19" i="112"/>
  <c r="W41" i="112" s="1"/>
  <c r="D18" i="112"/>
  <c r="D17" i="112"/>
  <c r="R16" i="112"/>
  <c r="N16" i="112"/>
  <c r="J16" i="112"/>
  <c r="F16" i="112"/>
  <c r="W15" i="112"/>
  <c r="W14" i="112"/>
  <c r="N14" i="112"/>
  <c r="N15" i="112" s="1"/>
  <c r="J14" i="112"/>
  <c r="J15" i="112" s="1"/>
  <c r="F14" i="112"/>
  <c r="F15" i="112" s="1"/>
  <c r="D14" i="112"/>
  <c r="D15" i="112" s="1"/>
  <c r="W13" i="112"/>
  <c r="W12" i="112"/>
  <c r="W11" i="112"/>
  <c r="N11" i="112"/>
  <c r="J11" i="112"/>
  <c r="F11" i="112"/>
  <c r="D11" i="112"/>
  <c r="W10" i="112"/>
  <c r="W9" i="112"/>
  <c r="N9" i="112"/>
  <c r="J9" i="112"/>
  <c r="F9" i="112"/>
  <c r="D9" i="112"/>
  <c r="W8" i="112"/>
  <c r="N8" i="112"/>
  <c r="N10" i="112" s="1"/>
  <c r="N24" i="112" s="1"/>
  <c r="N25" i="112" s="1"/>
  <c r="J8" i="112"/>
  <c r="J10" i="112" s="1"/>
  <c r="J24" i="112" s="1"/>
  <c r="J25" i="112" s="1"/>
  <c r="F8" i="112"/>
  <c r="F10" i="112" s="1"/>
  <c r="F24" i="112" s="1"/>
  <c r="F25" i="112" s="1"/>
  <c r="D8" i="112"/>
  <c r="D24" i="112" s="1"/>
  <c r="W7" i="112"/>
  <c r="N7" i="112"/>
  <c r="J7" i="112"/>
  <c r="F7" i="112"/>
  <c r="D7" i="112"/>
  <c r="W6" i="112"/>
  <c r="W16" i="112" s="1"/>
  <c r="N6" i="112"/>
  <c r="J6" i="112"/>
  <c r="F6" i="112"/>
  <c r="D6" i="112"/>
  <c r="U1" i="112" s="1"/>
  <c r="C2" i="112"/>
  <c r="C1" i="112"/>
  <c r="C43" i="111"/>
  <c r="C42" i="111" s="1"/>
  <c r="G37" i="111"/>
  <c r="F37" i="111"/>
  <c r="E37" i="111"/>
  <c r="D37" i="111"/>
  <c r="C19" i="111"/>
  <c r="G17" i="111"/>
  <c r="G18" i="111" s="1"/>
  <c r="F17" i="111"/>
  <c r="F18" i="111" s="1"/>
  <c r="E17" i="111"/>
  <c r="E18" i="111" s="1"/>
  <c r="D17" i="111"/>
  <c r="D18" i="111" s="1"/>
  <c r="C17" i="111"/>
  <c r="E42" i="111" s="1"/>
  <c r="G15" i="111"/>
  <c r="F15" i="111"/>
  <c r="E15" i="111"/>
  <c r="D15" i="111"/>
  <c r="C15" i="111"/>
  <c r="C16" i="111" s="1"/>
  <c r="G14" i="111"/>
  <c r="F14" i="111"/>
  <c r="E14" i="111"/>
  <c r="D14" i="111"/>
  <c r="G13" i="111"/>
  <c r="F13" i="111"/>
  <c r="E13" i="111"/>
  <c r="D13" i="111"/>
  <c r="C13" i="111"/>
  <c r="G12" i="111"/>
  <c r="F12" i="111"/>
  <c r="E12" i="111"/>
  <c r="D12" i="111"/>
  <c r="C12" i="111"/>
  <c r="G11" i="111"/>
  <c r="F11" i="111"/>
  <c r="E11" i="111"/>
  <c r="D11" i="111"/>
  <c r="C11" i="111"/>
  <c r="G10" i="111"/>
  <c r="F10" i="111"/>
  <c r="E10" i="111"/>
  <c r="D10" i="111"/>
  <c r="C10" i="111"/>
  <c r="C6" i="111"/>
  <c r="B6" i="111"/>
  <c r="C5" i="111"/>
  <c r="C4" i="111"/>
  <c r="C3" i="111"/>
  <c r="G37" i="110"/>
  <c r="F37" i="110"/>
  <c r="E37" i="110"/>
  <c r="D37" i="110"/>
  <c r="G19" i="110"/>
  <c r="F19" i="110"/>
  <c r="E19" i="110"/>
  <c r="D19" i="110"/>
  <c r="C19" i="110"/>
  <c r="G18" i="110"/>
  <c r="F18" i="110"/>
  <c r="E18" i="110"/>
  <c r="D18" i="110"/>
  <c r="C18" i="110"/>
  <c r="G16" i="110"/>
  <c r="F16" i="110"/>
  <c r="E16" i="110"/>
  <c r="D16" i="110"/>
  <c r="G15" i="110"/>
  <c r="E15" i="110"/>
  <c r="D15" i="110"/>
  <c r="C14" i="110"/>
  <c r="C13" i="110"/>
  <c r="G11" i="110"/>
  <c r="F11" i="110"/>
  <c r="E11" i="110"/>
  <c r="D11" i="110"/>
  <c r="C11" i="110"/>
  <c r="G10" i="110"/>
  <c r="F10" i="110"/>
  <c r="E10" i="110"/>
  <c r="D10" i="110"/>
  <c r="C10" i="110"/>
  <c r="G9" i="110"/>
  <c r="G17" i="110" s="1"/>
  <c r="F9" i="110"/>
  <c r="F17" i="110" s="1"/>
  <c r="E9" i="110"/>
  <c r="E17" i="110" s="1"/>
  <c r="D9" i="110"/>
  <c r="D17" i="110" s="1"/>
  <c r="C9" i="110"/>
  <c r="C17" i="110" s="1"/>
  <c r="C5" i="110"/>
  <c r="C4" i="110"/>
  <c r="B4" i="110"/>
  <c r="C3" i="110"/>
  <c r="C2" i="110"/>
  <c r="F76" i="109"/>
  <c r="D76" i="109"/>
  <c r="C76" i="109"/>
  <c r="B76" i="109"/>
  <c r="A76" i="109"/>
  <c r="E75" i="109"/>
  <c r="F26" i="109"/>
  <c r="D26" i="109"/>
  <c r="C26" i="109"/>
  <c r="B26" i="109"/>
  <c r="A26" i="109"/>
  <c r="E25" i="109"/>
  <c r="D25" i="109"/>
  <c r="C25" i="109"/>
  <c r="A33" i="108"/>
  <c r="A31" i="108"/>
  <c r="A30" i="108"/>
  <c r="A29" i="108"/>
  <c r="A23" i="108"/>
  <c r="A11" i="108"/>
  <c r="A6" i="108"/>
  <c r="A34" i="107"/>
  <c r="A32" i="107"/>
  <c r="A29" i="107"/>
  <c r="A14" i="107"/>
  <c r="A11" i="107"/>
  <c r="A9" i="107"/>
  <c r="A5" i="107"/>
  <c r="A41" i="106"/>
  <c r="F35" i="106"/>
  <c r="I35" i="106" s="1"/>
  <c r="F33" i="106"/>
  <c r="I33" i="106" s="1"/>
  <c r="F31" i="106"/>
  <c r="I31" i="106" s="1"/>
  <c r="F26" i="106"/>
  <c r="F24" i="106"/>
  <c r="A18" i="106"/>
  <c r="A14" i="106"/>
  <c r="E7" i="106"/>
  <c r="D23" i="105"/>
  <c r="D22" i="105"/>
  <c r="D20" i="105"/>
  <c r="D19" i="105"/>
  <c r="B19" i="105"/>
  <c r="D18" i="105"/>
  <c r="B18" i="105"/>
  <c r="D17" i="105"/>
  <c r="D15" i="105"/>
  <c r="D14" i="105"/>
  <c r="D13" i="105"/>
  <c r="B13" i="105"/>
  <c r="D11" i="105"/>
  <c r="D10" i="105"/>
  <c r="D9" i="105"/>
  <c r="B9" i="105"/>
  <c r="D8" i="105"/>
  <c r="A6" i="105"/>
  <c r="C35" i="104"/>
  <c r="C33" i="104"/>
  <c r="C31" i="104"/>
  <c r="C29" i="104"/>
  <c r="C27" i="104"/>
  <c r="G18" i="104"/>
  <c r="D18" i="104"/>
  <c r="G16" i="104"/>
  <c r="D16" i="104"/>
  <c r="F14" i="104"/>
  <c r="F13" i="104"/>
  <c r="F12" i="104"/>
  <c r="C9" i="104"/>
  <c r="C7" i="104"/>
  <c r="C5" i="104"/>
  <c r="C3" i="104"/>
  <c r="A26" i="101"/>
  <c r="A23" i="101"/>
  <c r="A20" i="101"/>
  <c r="B10" i="101"/>
  <c r="B9" i="101"/>
  <c r="C33" i="101" s="1"/>
  <c r="B8" i="101"/>
  <c r="B4" i="101"/>
  <c r="B3" i="101"/>
  <c r="B2" i="101"/>
  <c r="B7" i="101" s="1"/>
  <c r="B1" i="101"/>
  <c r="B50" i="100"/>
  <c r="D38" i="100"/>
  <c r="D37" i="100"/>
  <c r="A26" i="100"/>
  <c r="A25" i="100"/>
  <c r="A24" i="100"/>
  <c r="A23" i="100"/>
  <c r="A12" i="100"/>
  <c r="A11" i="100"/>
  <c r="A10" i="100"/>
  <c r="A9" i="100"/>
  <c r="B4" i="100"/>
  <c r="E34" i="131" l="1"/>
  <c r="F34" i="131" s="1"/>
  <c r="G34" i="131" s="1"/>
  <c r="H34" i="131" s="1"/>
  <c r="I34" i="131" s="1"/>
  <c r="J34" i="131" s="1"/>
  <c r="K34" i="131" s="1"/>
  <c r="L34" i="131" s="1"/>
  <c r="M34" i="131" s="1"/>
  <c r="N34" i="131" s="1"/>
  <c r="O34" i="131" s="1"/>
  <c r="P34" i="131" s="1"/>
  <c r="K26" i="131"/>
  <c r="M26" i="131"/>
  <c r="I32" i="131"/>
  <c r="E26" i="131"/>
  <c r="P26" i="131"/>
  <c r="H26" i="131"/>
  <c r="F26" i="131"/>
  <c r="L32" i="131"/>
  <c r="E24" i="131"/>
  <c r="N26" i="131"/>
  <c r="E32" i="131"/>
  <c r="I26" i="131"/>
  <c r="J32" i="131"/>
  <c r="M32" i="131"/>
  <c r="J26" i="131"/>
  <c r="G26" i="131"/>
  <c r="L26" i="131"/>
  <c r="H32" i="131"/>
  <c r="F32" i="131"/>
  <c r="O26" i="131"/>
  <c r="P32" i="131"/>
  <c r="N32" i="131"/>
  <c r="K32" i="131"/>
  <c r="G32" i="131"/>
  <c r="P86" i="131"/>
  <c r="W16" i="93"/>
  <c r="W20" i="93" s="1"/>
  <c r="N25" i="93"/>
  <c r="F25" i="93"/>
  <c r="J25" i="93"/>
  <c r="F176" i="90"/>
  <c r="A12" i="105"/>
  <c r="B15" i="105"/>
  <c r="B20" i="105"/>
  <c r="B14" i="105"/>
  <c r="B17" i="89"/>
  <c r="C76" i="90"/>
  <c r="C126" i="113"/>
  <c r="D26" i="90"/>
  <c r="C176" i="90"/>
  <c r="D76" i="90"/>
  <c r="D126" i="90"/>
  <c r="B26" i="90"/>
  <c r="D176" i="90"/>
  <c r="B76" i="90"/>
  <c r="B176" i="113"/>
  <c r="C26" i="90"/>
  <c r="B176" i="90"/>
  <c r="A26" i="113"/>
  <c r="F126" i="113"/>
  <c r="D126" i="113"/>
  <c r="F126" i="90"/>
  <c r="F176" i="113"/>
  <c r="U30" i="80"/>
  <c r="F28" i="117"/>
  <c r="A17" i="117"/>
  <c r="U30" i="115"/>
  <c r="U26" i="55"/>
  <c r="F76" i="90"/>
  <c r="A76" i="113"/>
  <c r="A36" i="55"/>
  <c r="D76" i="113"/>
  <c r="U28" i="114"/>
  <c r="E20" i="53"/>
  <c r="G21" i="71"/>
  <c r="G24" i="71" s="1"/>
  <c r="G39" i="71" s="1"/>
  <c r="A37" i="55"/>
  <c r="A26" i="90"/>
  <c r="C126" i="90"/>
  <c r="D26" i="113"/>
  <c r="A39" i="55"/>
  <c r="U25" i="55"/>
  <c r="C76" i="113"/>
  <c r="F21" i="71"/>
  <c r="F24" i="71" s="1"/>
  <c r="F39" i="71" s="1"/>
  <c r="F20" i="53"/>
  <c r="D10" i="93"/>
  <c r="F28" i="75"/>
  <c r="E76" i="92"/>
  <c r="D20" i="53"/>
  <c r="D38" i="71"/>
  <c r="E26" i="92"/>
  <c r="D16" i="93"/>
  <c r="C12" i="53"/>
  <c r="B20" i="94"/>
  <c r="AC20" i="80"/>
  <c r="AC22" i="80" s="1"/>
  <c r="AC24" i="80" s="1"/>
  <c r="I23" i="75"/>
  <c r="I24" i="75" s="1"/>
  <c r="W29" i="93"/>
  <c r="C20" i="53"/>
  <c r="B23" i="94"/>
  <c r="B26" i="94"/>
  <c r="C34" i="94"/>
  <c r="C33" i="94"/>
  <c r="F22" i="53"/>
  <c r="F25" i="53" s="1"/>
  <c r="F38" i="53" s="1"/>
  <c r="G22" i="53"/>
  <c r="G25" i="53" s="1"/>
  <c r="G38" i="53" s="1"/>
  <c r="E38" i="71"/>
  <c r="U27" i="55"/>
  <c r="U28" i="55"/>
  <c r="G38" i="71"/>
  <c r="F26" i="90"/>
  <c r="F38" i="71"/>
  <c r="G20" i="53"/>
  <c r="A126" i="90"/>
  <c r="B26" i="113"/>
  <c r="A76" i="90"/>
  <c r="D22" i="53"/>
  <c r="D25" i="53" s="1"/>
  <c r="D38" i="53" s="1"/>
  <c r="D21" i="71"/>
  <c r="D24" i="71" s="1"/>
  <c r="D39" i="71" s="1"/>
  <c r="E22" i="53"/>
  <c r="E25" i="53" s="1"/>
  <c r="E38" i="53" s="1"/>
  <c r="A39" i="114"/>
  <c r="E21" i="71"/>
  <c r="E24" i="71" s="1"/>
  <c r="E39" i="71" s="1"/>
  <c r="D41" i="53"/>
  <c r="F41" i="53" s="1"/>
  <c r="F43" i="53" s="1"/>
  <c r="H26" i="52" s="1"/>
  <c r="A38" i="55"/>
  <c r="F15" i="53"/>
  <c r="B126" i="90" s="1"/>
  <c r="A176" i="90"/>
  <c r="C18" i="71"/>
  <c r="W41" i="93"/>
  <c r="AC39" i="80"/>
  <c r="AC43" i="80" s="1"/>
  <c r="AA18" i="80"/>
  <c r="I17" i="76"/>
  <c r="I18" i="76" s="1"/>
  <c r="D10" i="112"/>
  <c r="E76" i="109"/>
  <c r="I8" i="105"/>
  <c r="I23" i="117"/>
  <c r="I24" i="117" s="1"/>
  <c r="I25" i="117" s="1"/>
  <c r="C176" i="113"/>
  <c r="C20" i="110"/>
  <c r="D38" i="111"/>
  <c r="F22" i="110"/>
  <c r="F25" i="110" s="1"/>
  <c r="F38" i="110" s="1"/>
  <c r="G20" i="110"/>
  <c r="F38" i="111"/>
  <c r="A126" i="113"/>
  <c r="G38" i="111"/>
  <c r="D20" i="110"/>
  <c r="B76" i="113"/>
  <c r="E38" i="111"/>
  <c r="U26" i="114"/>
  <c r="F76" i="113"/>
  <c r="A176" i="113"/>
  <c r="D176" i="113"/>
  <c r="A37" i="114"/>
  <c r="D20" i="112"/>
  <c r="B20" i="101"/>
  <c r="E26" i="109"/>
  <c r="B23" i="101"/>
  <c r="B26" i="101"/>
  <c r="W29" i="112"/>
  <c r="AC20" i="115"/>
  <c r="AC22" i="115" s="1"/>
  <c r="AC24" i="115" s="1"/>
  <c r="AC43" i="115"/>
  <c r="A38" i="114"/>
  <c r="G22" i="110"/>
  <c r="G25" i="110" s="1"/>
  <c r="G38" i="110" s="1"/>
  <c r="E20" i="110"/>
  <c r="F20" i="110"/>
  <c r="G21" i="111"/>
  <c r="G24" i="111" s="1"/>
  <c r="G39" i="111" s="1"/>
  <c r="D21" i="111"/>
  <c r="D24" i="111" s="1"/>
  <c r="D39" i="111" s="1"/>
  <c r="D22" i="110"/>
  <c r="D25" i="110" s="1"/>
  <c r="D38" i="110" s="1"/>
  <c r="E21" i="111"/>
  <c r="E24" i="111" s="1"/>
  <c r="E39" i="111" s="1"/>
  <c r="F21" i="111"/>
  <c r="F24" i="111" s="1"/>
  <c r="F39" i="111" s="1"/>
  <c r="C26" i="113"/>
  <c r="E22" i="110"/>
  <c r="E25" i="110" s="1"/>
  <c r="E38" i="110" s="1"/>
  <c r="U27" i="114"/>
  <c r="A36" i="114"/>
  <c r="F26" i="113"/>
  <c r="U25" i="114"/>
  <c r="I17" i="116"/>
  <c r="I18" i="116" s="1"/>
  <c r="I20" i="116" s="1"/>
  <c r="I21" i="116" s="1"/>
  <c r="I24" i="116" s="1"/>
  <c r="AC41" i="115"/>
  <c r="E43" i="115"/>
  <c r="E46" i="115" s="1"/>
  <c r="AA18" i="115"/>
  <c r="E26" i="115" s="1"/>
  <c r="W45" i="112"/>
  <c r="W46" i="112" s="1"/>
  <c r="W20" i="112"/>
  <c r="W18" i="112"/>
  <c r="F42" i="111"/>
  <c r="C18" i="111"/>
  <c r="C22" i="110"/>
  <c r="C38" i="110" s="1"/>
  <c r="D41" i="110"/>
  <c r="F41" i="110" s="1"/>
  <c r="F43" i="110" s="1"/>
  <c r="C34" i="101"/>
  <c r="C43" i="101"/>
  <c r="E28" i="131" l="1"/>
  <c r="F24" i="131"/>
  <c r="F28" i="131" s="1"/>
  <c r="E30" i="131"/>
  <c r="E36" i="131" s="1"/>
  <c r="E38" i="131" s="1"/>
  <c r="I19" i="76"/>
  <c r="I20" i="76" s="1"/>
  <c r="W18" i="93"/>
  <c r="E176" i="90"/>
  <c r="E76" i="90"/>
  <c r="E126" i="90"/>
  <c r="E26" i="113"/>
  <c r="K53" i="71"/>
  <c r="J53" i="71"/>
  <c r="I25" i="75"/>
  <c r="I26" i="75" s="1"/>
  <c r="I27" i="75" s="1"/>
  <c r="I28" i="75" s="1"/>
  <c r="I31" i="75" s="1"/>
  <c r="I33" i="75" s="1"/>
  <c r="L48" i="53"/>
  <c r="L49" i="53" s="1"/>
  <c r="J48" i="53"/>
  <c r="K48" i="53"/>
  <c r="E26" i="90"/>
  <c r="E76" i="113"/>
  <c r="C21" i="71"/>
  <c r="E43" i="71"/>
  <c r="W45" i="93"/>
  <c r="W46" i="93" s="1"/>
  <c r="W21" i="93"/>
  <c r="W23" i="93" s="1"/>
  <c r="AC26" i="80"/>
  <c r="AC28" i="80" s="1"/>
  <c r="AC30" i="80" s="1"/>
  <c r="G37" i="80" s="1"/>
  <c r="G37" i="115"/>
  <c r="J53" i="111"/>
  <c r="K53" i="111"/>
  <c r="L48" i="110"/>
  <c r="L49" i="110" s="1"/>
  <c r="E126" i="113"/>
  <c r="H26" i="107"/>
  <c r="J48" i="110"/>
  <c r="K48" i="110"/>
  <c r="E176" i="113"/>
  <c r="I26" i="117"/>
  <c r="I27" i="117" s="1"/>
  <c r="I28" i="117" s="1"/>
  <c r="I31" i="117" s="1"/>
  <c r="I33" i="117" s="1"/>
  <c r="AC26" i="115"/>
  <c r="AC28" i="115" s="1"/>
  <c r="AC30" i="115" s="1"/>
  <c r="G46" i="115"/>
  <c r="Q37" i="115"/>
  <c r="Q43" i="115" s="1"/>
  <c r="W21" i="112"/>
  <c r="W23" i="112" s="1"/>
  <c r="E43" i="111"/>
  <c r="C21" i="111"/>
  <c r="F43" i="111"/>
  <c r="F44" i="111" s="1"/>
  <c r="I21" i="76" l="1"/>
  <c r="G24" i="131"/>
  <c r="G30" i="131" s="1"/>
  <c r="G36" i="131" s="1"/>
  <c r="F30" i="131"/>
  <c r="F36" i="131" s="1"/>
  <c r="F38" i="131" s="1"/>
  <c r="F40" i="131" s="1"/>
  <c r="E40" i="131"/>
  <c r="D46" i="1"/>
  <c r="B45" i="111"/>
  <c r="B44" i="53"/>
  <c r="W24" i="93"/>
  <c r="U25" i="93" s="1"/>
  <c r="B44" i="110"/>
  <c r="H23" i="107"/>
  <c r="Q47" i="115"/>
  <c r="AA45" i="115"/>
  <c r="AA37" i="115" s="1"/>
  <c r="W24" i="112"/>
  <c r="U25" i="112" s="1"/>
  <c r="G28" i="131" l="1"/>
  <c r="H24" i="131"/>
  <c r="I24" i="131" s="1"/>
  <c r="G38" i="131"/>
  <c r="G40" i="131" s="1"/>
  <c r="W26" i="93"/>
  <c r="W31" i="93" s="1"/>
  <c r="W34" i="93" s="1"/>
  <c r="W36" i="93" s="1"/>
  <c r="U38" i="93" s="1"/>
  <c r="W26" i="112"/>
  <c r="W31" i="112" s="1"/>
  <c r="W34" i="112" s="1"/>
  <c r="W36" i="112" s="1"/>
  <c r="U38" i="112" s="1"/>
  <c r="H28" i="131" l="1"/>
  <c r="H30" i="131"/>
  <c r="H36" i="131" s="1"/>
  <c r="H38" i="131" s="1"/>
  <c r="H40" i="131" s="1"/>
  <c r="J24" i="131"/>
  <c r="I30" i="131"/>
  <c r="I36" i="131" s="1"/>
  <c r="I28" i="131"/>
  <c r="B36" i="100"/>
  <c r="I38" i="131" l="1"/>
  <c r="I40" i="131" s="1"/>
  <c r="K24" i="131"/>
  <c r="J28" i="131"/>
  <c r="J30" i="131"/>
  <c r="J36" i="131" s="1"/>
  <c r="D16" i="112"/>
  <c r="C12" i="110"/>
  <c r="F15" i="110"/>
  <c r="D12" i="110"/>
  <c r="G12" i="110"/>
  <c r="F12" i="110"/>
  <c r="E12" i="110"/>
  <c r="K28" i="131" l="1"/>
  <c r="L24" i="131"/>
  <c r="K30" i="131"/>
  <c r="K36" i="131" s="1"/>
  <c r="J38" i="131"/>
  <c r="J40" i="131" s="1"/>
  <c r="B126" i="113"/>
  <c r="K38" i="131" l="1"/>
  <c r="K40" i="131" s="1"/>
  <c r="L28" i="131"/>
  <c r="L30" i="131"/>
  <c r="L36" i="131" s="1"/>
  <c r="M24" i="131"/>
  <c r="C42" i="71"/>
  <c r="C43" i="71" s="1"/>
  <c r="L38" i="131" l="1"/>
  <c r="L40" i="131" s="1"/>
  <c r="N24" i="131"/>
  <c r="M30" i="131"/>
  <c r="M36" i="131" s="1"/>
  <c r="M28" i="131"/>
  <c r="F43" i="71"/>
  <c r="F44" i="71" s="1"/>
  <c r="B45" i="71"/>
  <c r="F42" i="71"/>
  <c r="M38" i="131" l="1"/>
  <c r="M40" i="131" s="1"/>
  <c r="N30" i="131"/>
  <c r="N36" i="131" s="1"/>
  <c r="N28" i="131"/>
  <c r="O24" i="131"/>
  <c r="O30" i="131" l="1"/>
  <c r="O36" i="131" s="1"/>
  <c r="O28" i="131"/>
  <c r="P24" i="131"/>
  <c r="N38" i="131"/>
  <c r="N40" i="131" s="1"/>
  <c r="E46" i="131" l="1"/>
  <c r="P30" i="131"/>
  <c r="P36" i="131" s="1"/>
  <c r="P28" i="131"/>
  <c r="O38" i="131"/>
  <c r="O40" i="131" s="1"/>
  <c r="P38" i="131" l="1"/>
  <c r="P40" i="131" s="1"/>
  <c r="P42" i="131" s="1"/>
  <c r="F46" i="131"/>
  <c r="E50" i="131"/>
  <c r="E52" i="131"/>
  <c r="E58" i="131" s="1"/>
  <c r="E60" i="131" s="1"/>
  <c r="E62" i="131" s="1"/>
  <c r="I24" i="76" l="1"/>
  <c r="I26" i="76" s="1"/>
  <c r="F50" i="131"/>
  <c r="G46" i="131"/>
  <c r="F52" i="131"/>
  <c r="F58" i="131" s="1"/>
  <c r="F60" i="131" l="1"/>
  <c r="F62" i="131" s="1"/>
  <c r="G52" i="131"/>
  <c r="G58" i="131" s="1"/>
  <c r="H46" i="131"/>
  <c r="G50" i="131"/>
  <c r="G60" i="131" l="1"/>
  <c r="G62" i="131" s="1"/>
  <c r="I46" i="131"/>
  <c r="H52" i="131"/>
  <c r="H58" i="131" s="1"/>
  <c r="H60" i="131" s="1"/>
  <c r="H62" i="131" s="1"/>
  <c r="H50" i="131"/>
  <c r="I52" i="131" l="1"/>
  <c r="I58" i="131" s="1"/>
  <c r="I60" i="131" s="1"/>
  <c r="I62" i="131" s="1"/>
  <c r="I50" i="131"/>
  <c r="J46" i="131"/>
  <c r="J52" i="131" l="1"/>
  <c r="J58" i="131" s="1"/>
  <c r="K46" i="131"/>
  <c r="J50" i="131"/>
  <c r="J60" i="131" l="1"/>
  <c r="J62" i="131" s="1"/>
  <c r="L46" i="131"/>
  <c r="K50" i="131"/>
  <c r="K52" i="131"/>
  <c r="K58" i="131" s="1"/>
  <c r="K60" i="131" s="1"/>
  <c r="K62" i="131" s="1"/>
  <c r="M46" i="131" l="1"/>
  <c r="L50" i="131"/>
  <c r="L52" i="131"/>
  <c r="L58" i="131" s="1"/>
  <c r="L60" i="131" s="1"/>
  <c r="L62" i="131" s="1"/>
  <c r="N46" i="131" l="1"/>
  <c r="M50" i="131"/>
  <c r="M52" i="131"/>
  <c r="M58" i="131" s="1"/>
  <c r="M60" i="131" s="1"/>
  <c r="M62" i="131" s="1"/>
  <c r="N50" i="131" l="1"/>
  <c r="O46" i="131"/>
  <c r="N52" i="131"/>
  <c r="N58" i="131" s="1"/>
  <c r="N60" i="131" l="1"/>
  <c r="N62" i="131" s="1"/>
  <c r="O50" i="131"/>
  <c r="O52" i="131"/>
  <c r="O58" i="131" s="1"/>
  <c r="P46" i="131"/>
  <c r="O60" i="131" l="1"/>
  <c r="O62" i="131" s="1"/>
  <c r="P52" i="131"/>
  <c r="P58" i="131" s="1"/>
  <c r="P50" i="131"/>
  <c r="E68" i="131"/>
  <c r="P60" i="131" l="1"/>
  <c r="P62" i="131" s="1"/>
  <c r="P64" i="131" s="1"/>
  <c r="I3" i="131" s="1"/>
  <c r="E78" i="131"/>
  <c r="F78" i="131" s="1"/>
  <c r="G78" i="131" s="1"/>
  <c r="H78" i="131" s="1"/>
  <c r="I78" i="131" s="1"/>
  <c r="J78" i="131" s="1"/>
  <c r="K78" i="131" s="1"/>
  <c r="L78" i="131" s="1"/>
  <c r="M78" i="131" s="1"/>
  <c r="N78" i="131" s="1"/>
  <c r="O78" i="131" s="1"/>
  <c r="P78" i="131" s="1"/>
  <c r="E74" i="131"/>
  <c r="F68" i="131"/>
  <c r="E72" i="131"/>
  <c r="I22" i="76" l="1"/>
  <c r="E39" i="80" a="1"/>
  <c r="E39" i="80" s="1"/>
  <c r="E41" i="80" s="1"/>
  <c r="G68" i="131"/>
  <c r="F72" i="131"/>
  <c r="F74" i="131"/>
  <c r="E46" i="80" l="1"/>
  <c r="H23" i="52"/>
  <c r="H68" i="131"/>
  <c r="G72" i="131"/>
  <c r="G74" i="131"/>
  <c r="Q37" i="80" l="1"/>
  <c r="Q43" i="80" s="1"/>
  <c r="G46" i="80"/>
  <c r="I68" i="131"/>
  <c r="H72" i="131"/>
  <c r="H74" i="131"/>
  <c r="AA45" i="80" l="1"/>
  <c r="AA37" i="80" s="1"/>
  <c r="Q47" i="80"/>
  <c r="I72" i="131"/>
  <c r="J68" i="131"/>
  <c r="I74" i="131"/>
  <c r="J74" i="131" l="1"/>
  <c r="J72" i="131"/>
  <c r="K68" i="131"/>
  <c r="L68" i="131" l="1"/>
  <c r="K74" i="131"/>
  <c r="K72" i="131"/>
  <c r="L74" i="131" l="1"/>
  <c r="L72" i="131"/>
  <c r="M68" i="131"/>
  <c r="M74" i="131" l="1"/>
  <c r="N68" i="131"/>
  <c r="M72" i="131"/>
  <c r="N72" i="131" l="1"/>
  <c r="N74" i="131"/>
  <c r="O68" i="131"/>
  <c r="P68" i="131" l="1"/>
  <c r="O72" i="131"/>
  <c r="O74" i="131"/>
  <c r="P72" i="131" l="1"/>
  <c r="P74" i="13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<sst xmlns="http://schemas.openxmlformats.org/spreadsheetml/2006/main" count="1398" uniqueCount="561">
  <si>
    <t>VALUES</t>
  </si>
  <si>
    <t>PARCEL NUMBER:</t>
  </si>
  <si>
    <t>HEARING DATE:</t>
  </si>
  <si>
    <t>ASSESSOR'S ROLL VALUE:</t>
  </si>
  <si>
    <t>APPLICANT'S OPINION OF VALUE:</t>
  </si>
  <si>
    <t>ASSESSOR'S OPINION OF VALUE:</t>
  </si>
  <si>
    <t>TYPE OF APPEAL:</t>
  </si>
  <si>
    <t>PROPERTY TYPE:</t>
  </si>
  <si>
    <t>ACREAGE:</t>
  </si>
  <si>
    <t>SPECIAL NOTES:</t>
  </si>
  <si>
    <t>SUBJECT</t>
  </si>
  <si>
    <t xml:space="preserve"> </t>
  </si>
  <si>
    <t>Date:</t>
  </si>
  <si>
    <t>City</t>
  </si>
  <si>
    <t>Comp Pulldown ("Arranged Comps" sheet)</t>
  </si>
  <si>
    <t>Condition</t>
  </si>
  <si>
    <t>Average</t>
  </si>
  <si>
    <t>Good</t>
  </si>
  <si>
    <t>New</t>
  </si>
  <si>
    <t>Multiplier</t>
  </si>
  <si>
    <t>X</t>
  </si>
  <si>
    <t>Choose</t>
  </si>
  <si>
    <t>SUB</t>
  </si>
  <si>
    <t>Zoning</t>
  </si>
  <si>
    <t>Location</t>
  </si>
  <si>
    <t>Use</t>
  </si>
  <si>
    <t>Conveyance number</t>
  </si>
  <si>
    <t>Fair</t>
  </si>
  <si>
    <t>MAJOR CROSS STREETS:</t>
  </si>
  <si>
    <t>PROPERTY ADDRESS:</t>
  </si>
  <si>
    <t>CITY LOCATION:</t>
  </si>
  <si>
    <t>BUSINESS</t>
  </si>
  <si>
    <t>AGRICULTURAL</t>
  </si>
  <si>
    <t>P. I.</t>
  </si>
  <si>
    <t>COMMERCIAL</t>
  </si>
  <si>
    <t>TITLE</t>
  </si>
  <si>
    <t>RESIDENTIAL</t>
  </si>
  <si>
    <t>VACANT</t>
  </si>
  <si>
    <t>IMPROVED</t>
  </si>
  <si>
    <t>PROP 8</t>
  </si>
  <si>
    <t xml:space="preserve">BASE YEAR </t>
  </si>
  <si>
    <t>APPRAISER NAME:</t>
  </si>
  <si>
    <t xml:space="preserve">APPLICATION NUMBER: </t>
  </si>
  <si>
    <t>ASSESSMENT APPEALS OVERVIEW</t>
  </si>
  <si>
    <t>RIVERSIDE COUNTY, CALIFORNIA</t>
  </si>
  <si>
    <t>RIVERSIDE COUNTY ASSESSOR-CLERK-RECORDER</t>
  </si>
  <si>
    <t>RIVERSIDE COMMERCIAL</t>
  </si>
  <si>
    <t>CURRENT ROLL VALUE:</t>
  </si>
  <si>
    <t>AGENT:</t>
  </si>
  <si>
    <t>APPLICANT:</t>
  </si>
  <si>
    <t>CONCLUSION</t>
  </si>
  <si>
    <t>VALUATION</t>
  </si>
  <si>
    <t>SUBJECT PROPERTY</t>
  </si>
  <si>
    <t>INTRODUCTION</t>
  </si>
  <si>
    <t>APPRAISAL NARRATIVE</t>
  </si>
  <si>
    <t>Correlated</t>
  </si>
  <si>
    <t xml:space="preserve">High </t>
  </si>
  <si>
    <t>Low</t>
  </si>
  <si>
    <t xml:space="preserve">FINAL VALUE =  </t>
  </si>
  <si>
    <t xml:space="preserve">SQFT          =   </t>
  </si>
  <si>
    <t>VALUE</t>
  </si>
  <si>
    <t>ADJ. PRICE PER SQFT</t>
  </si>
  <si>
    <t>NET ADJUSTMENTS</t>
  </si>
  <si>
    <t xml:space="preserve">Freeway Exposure </t>
  </si>
  <si>
    <t>Land to Bldg. Ratio</t>
  </si>
  <si>
    <t>Occupancy</t>
  </si>
  <si>
    <t>Tenants / Use</t>
  </si>
  <si>
    <t>Quality</t>
  </si>
  <si>
    <t>Age</t>
  </si>
  <si>
    <t xml:space="preserve">Corner Site/Access </t>
  </si>
  <si>
    <t>Building Size</t>
  </si>
  <si>
    <t>COMPARABILITY ADJUSTMENTS    (PERCENTAGE BASIS)</t>
  </si>
  <si>
    <t>Adjusted Price / Sq. Ft.</t>
  </si>
  <si>
    <t>Condition of Sale</t>
  </si>
  <si>
    <t>Market Conditions</t>
  </si>
  <si>
    <t>Unadjusted Price / Sq. Ft.</t>
  </si>
  <si>
    <t>UNADJUSTED VALUE INDICATORS</t>
  </si>
  <si>
    <t>Building Area (Sq.Ft.)</t>
  </si>
  <si>
    <t xml:space="preserve">Ind. or  Adj.                   </t>
  </si>
  <si>
    <t>Cash Equivalent Sale Price</t>
  </si>
  <si>
    <t>Transfer Date</t>
  </si>
  <si>
    <t>Parcel #</t>
  </si>
  <si>
    <t>DESCRIPTION</t>
  </si>
  <si>
    <t>COMPARABLE SALES</t>
  </si>
  <si>
    <t>Eff. Date of Appraisal:</t>
  </si>
  <si>
    <t>SALES COMPARISON APPROACH</t>
  </si>
  <si>
    <t>COMPARABLE #4</t>
  </si>
  <si>
    <t>COMPARABLE #2</t>
  </si>
  <si>
    <t>COMPARABLE #1</t>
  </si>
  <si>
    <t>MAP OF COMPARABLE SALES</t>
  </si>
  <si>
    <t>Size</t>
  </si>
  <si>
    <t>Roll Year</t>
  </si>
  <si>
    <t>Address</t>
  </si>
  <si>
    <t>Property Type</t>
  </si>
  <si>
    <t>Sqft.</t>
  </si>
  <si>
    <t>NLA</t>
  </si>
  <si>
    <t>Yr. Built</t>
  </si>
  <si>
    <t>Eff. Age</t>
  </si>
  <si>
    <t>Acres</t>
  </si>
  <si>
    <t># of Lots</t>
  </si>
  <si>
    <t>Intersection</t>
  </si>
  <si>
    <t>Tenant</t>
  </si>
  <si>
    <t>Rent Type</t>
  </si>
  <si>
    <t>Vacancy</t>
  </si>
  <si>
    <t>Expenses</t>
  </si>
  <si>
    <t>Cap Rate</t>
  </si>
  <si>
    <t>Tax Rate</t>
  </si>
  <si>
    <t>Cap Rate + Tax</t>
  </si>
  <si>
    <t>Lease Up Loss</t>
  </si>
  <si>
    <t>SUBJECT INFO</t>
  </si>
  <si>
    <t>2012/2013</t>
  </si>
  <si>
    <t>2014/2015</t>
  </si>
  <si>
    <t>2015/2016</t>
  </si>
  <si>
    <t>2016/2017</t>
  </si>
  <si>
    <t>2017/2018</t>
  </si>
  <si>
    <t>2018/2019</t>
  </si>
  <si>
    <t>2019/2020</t>
  </si>
  <si>
    <t>2020/2021</t>
  </si>
  <si>
    <t>2021/2022</t>
  </si>
  <si>
    <t>2022/2023</t>
  </si>
  <si>
    <t>2023/2024</t>
  </si>
  <si>
    <t>2024/2025</t>
  </si>
  <si>
    <t>2025/2026</t>
  </si>
  <si>
    <t>2026/2027</t>
  </si>
  <si>
    <t>2027/2028</t>
  </si>
  <si>
    <t>2028/2029</t>
  </si>
  <si>
    <t>2029/2030</t>
  </si>
  <si>
    <t>2030/2031</t>
  </si>
  <si>
    <t>2031/2032</t>
  </si>
  <si>
    <t>2032/2033</t>
  </si>
  <si>
    <t>2033/2034</t>
  </si>
  <si>
    <t>2034/2035</t>
  </si>
  <si>
    <t>2035/2036</t>
  </si>
  <si>
    <t>2036/2037</t>
  </si>
  <si>
    <t>Improved</t>
  </si>
  <si>
    <t>Vacant</t>
  </si>
  <si>
    <r>
      <t xml:space="preserve">The Sales Comparison Approach uses the sales of properties similar to the subject to arrive at an estimate of value. Adjustments to the sale price of the comparables were made where the characteristics of the comparables differed from those of the subject.  Adequate market information was available to arrive at a reasonable estimate of value, and the value indicated by the Sales Comparison Approach is therefore considered to be reliable.
</t>
    </r>
    <r>
      <rPr>
        <b/>
        <sz val="12"/>
        <color theme="1"/>
        <rFont val="Calibri"/>
        <family val="2"/>
        <scheme val="minor"/>
      </rPr>
      <t>The results indicated by the value approaches are summarized as follows:</t>
    </r>
    <r>
      <rPr>
        <sz val="10"/>
        <color theme="1"/>
        <rFont val="Calibri"/>
        <family val="2"/>
        <scheme val="minor"/>
      </rPr>
      <t xml:space="preserve">
</t>
    </r>
  </si>
  <si>
    <t>C2.0</t>
  </si>
  <si>
    <t>Income Approach:</t>
  </si>
  <si>
    <t>Sales Comparison Approach:</t>
  </si>
  <si>
    <t>Land Area (Acres)</t>
  </si>
  <si>
    <t>COMP 1</t>
  </si>
  <si>
    <t>COMP 2</t>
  </si>
  <si>
    <t>COMP 3</t>
  </si>
  <si>
    <t>COMP 4</t>
  </si>
  <si>
    <t>Bldg Qual Class</t>
  </si>
  <si>
    <t>C1.5</t>
  </si>
  <si>
    <t>C2.5</t>
  </si>
  <si>
    <t>C3.0</t>
  </si>
  <si>
    <t>D1.5</t>
  </si>
  <si>
    <t>D2.0</t>
  </si>
  <si>
    <t>D2.5</t>
  </si>
  <si>
    <t>D3.0</t>
  </si>
  <si>
    <t xml:space="preserve">                                                                                                             </t>
  </si>
  <si>
    <t>SUBJECT CORRELATED VALUE ($/Sq. Ft.):</t>
  </si>
  <si>
    <t>ASSESSOR-COUNTY CLERK-RECORDER
RIVERSIDE COUNTY, CA</t>
  </si>
  <si>
    <t>ASSESSMENT APPEAL CASE NUMBER(S):</t>
  </si>
  <si>
    <t/>
  </si>
  <si>
    <t>Commercial Valuation Division - Riverside Commercial District Office</t>
  </si>
  <si>
    <t>COMPARABLE #3</t>
  </si>
  <si>
    <t>COUNTY OF RIVERSIDE</t>
  </si>
  <si>
    <t xml:space="preserve">  SALES COMPARISON APPROACH - LAND</t>
  </si>
  <si>
    <t>Appraiser ID#:</t>
  </si>
  <si>
    <t>Subject</t>
  </si>
  <si>
    <t>Sale #1</t>
  </si>
  <si>
    <t>Sale #2</t>
  </si>
  <si>
    <t>Sale #3</t>
  </si>
  <si>
    <t>Sale #4</t>
  </si>
  <si>
    <t>Assessment #</t>
  </si>
  <si>
    <t xml:space="preserve">Location   </t>
  </si>
  <si>
    <t>Roll Value</t>
  </si>
  <si>
    <t>Ind. or  Adj.</t>
  </si>
  <si>
    <t>Adj</t>
  </si>
  <si>
    <t>Land Area  (Sq. Ft.)</t>
  </si>
  <si>
    <t># of Units or Lots</t>
  </si>
  <si>
    <t>Market Conditions (Time)</t>
  </si>
  <si>
    <t>Conditions of Sale</t>
  </si>
  <si>
    <t>Adjusted Price / SF</t>
  </si>
  <si>
    <t>COMPARABILITY ADJUSTMENTS - (PERCENTAGE BASIS)</t>
  </si>
  <si>
    <t xml:space="preserve">Location </t>
  </si>
  <si>
    <t>Access/Corner</t>
  </si>
  <si>
    <t>Flood Zone</t>
  </si>
  <si>
    <t>Topography</t>
  </si>
  <si>
    <t>Immediate Development</t>
  </si>
  <si>
    <t>Onsite - Offsites/Site Imps.</t>
  </si>
  <si>
    <t>Freeway Exposure/Access</t>
  </si>
  <si>
    <t>Paved / Dirt / Gravel Streets</t>
  </si>
  <si>
    <t>ADJ PRICE PER ACRE</t>
  </si>
  <si>
    <t>ADJ PRICE PER SQFT</t>
  </si>
  <si>
    <t>SUBJECT CORRELATED VALUE:</t>
  </si>
  <si>
    <t>PRICE PER ACRE</t>
  </si>
  <si>
    <t>PRICE PER SQFT</t>
  </si>
  <si>
    <t>Plottage (util. due to size/shape)</t>
  </si>
  <si>
    <t>Sub</t>
  </si>
  <si>
    <t>Valuation -  Income Capitalization Approach</t>
  </si>
  <si>
    <t>The following reconstructed operating statement is based on the information previously cited.</t>
  </si>
  <si>
    <t>Potential Gross Income</t>
  </si>
  <si>
    <t>/sf/mo</t>
  </si>
  <si>
    <t>Less Vacancy &amp; Collection Losses</t>
  </si>
  <si>
    <t>@</t>
  </si>
  <si>
    <t>Effective Gross Income</t>
  </si>
  <si>
    <t>Less Expenses</t>
  </si>
  <si>
    <t>Net Operating Income</t>
  </si>
  <si>
    <t xml:space="preserve">Capitalized  </t>
  </si>
  <si>
    <t>Less Lease-Up</t>
  </si>
  <si>
    <t>Capitalized Value</t>
  </si>
  <si>
    <r>
      <t xml:space="preserve">Market Value Conclusion Based on Capitalized Income Potential: </t>
    </r>
    <r>
      <rPr>
        <b/>
        <sz val="12"/>
        <color indexed="56"/>
        <rFont val="Century Gothic"/>
        <family val="2"/>
      </rPr>
      <t xml:space="preserve"> </t>
    </r>
  </si>
  <si>
    <t>Rent Amount ($/mo)</t>
  </si>
  <si>
    <t>VALUE INDICATOR WORKSHEET</t>
  </si>
  <si>
    <t>APN:</t>
  </si>
  <si>
    <t>EFF DATE:</t>
  </si>
  <si>
    <t>ID:</t>
  </si>
  <si>
    <t>ECON. SITE</t>
  </si>
  <si>
    <t>COST APPROACH</t>
  </si>
  <si>
    <t>SQ FT</t>
  </si>
  <si>
    <t>$/MO</t>
  </si>
  <si>
    <t xml:space="preserve"> EFF ACRES:</t>
  </si>
  <si>
    <t xml:space="preserve"> PROFIT:</t>
  </si>
  <si>
    <t xml:space="preserve"> $/SQFT:</t>
  </si>
  <si>
    <t xml:space="preserve"> MS BLDG:</t>
  </si>
  <si>
    <t xml:space="preserve"> ECO SITE:</t>
  </si>
  <si>
    <t xml:space="preserve"> HISTORIC:</t>
  </si>
  <si>
    <t xml:space="preserve"> EXCESS AC:</t>
  </si>
  <si>
    <t xml:space="preserve"> $/SQ FT:</t>
  </si>
  <si>
    <t xml:space="preserve"> TOTAL MS:</t>
  </si>
  <si>
    <t xml:space="preserve"> EX LAND:</t>
  </si>
  <si>
    <t xml:space="preserve"> TOTAL HIST:</t>
  </si>
  <si>
    <t>TOTAL EFF SQ FT:</t>
  </si>
  <si>
    <t>POTENTIAL GROSS INC:</t>
  </si>
  <si>
    <t>MARKET APPROACH</t>
  </si>
  <si>
    <t>V&amp;C</t>
  </si>
  <si>
    <t xml:space="preserve">  GRM</t>
  </si>
  <si>
    <t>EFFECTIVE GROSS</t>
  </si>
  <si>
    <t xml:space="preserve">  $/SQFT:</t>
  </si>
  <si>
    <t>EXP:</t>
  </si>
  <si>
    <t xml:space="preserve">  CE:</t>
  </si>
  <si>
    <t>NET OPERATING INC:</t>
  </si>
  <si>
    <t>OAR:</t>
  </si>
  <si>
    <t>CAPITALIZED VALUE</t>
  </si>
  <si>
    <t>CORRELATION</t>
  </si>
  <si>
    <t>NEW CONSTRUCTION</t>
  </si>
  <si>
    <t>POSTING VALUES</t>
  </si>
  <si>
    <t>SQFT</t>
  </si>
  <si>
    <t>ECO VALUE:</t>
  </si>
  <si>
    <t>MKT STR:</t>
  </si>
  <si>
    <t>TP ASMT:</t>
  </si>
  <si>
    <t>BLD OUT: $/SQ FT</t>
  </si>
  <si>
    <t>LEASE UP:</t>
  </si>
  <si>
    <t>BLD OUT: SQFT</t>
  </si>
  <si>
    <t>DEV ECON SITE:</t>
  </si>
  <si>
    <t>BLD OUT : VALUE</t>
  </si>
  <si>
    <t>NET VALUE:</t>
  </si>
  <si>
    <t>BPP:</t>
  </si>
  <si>
    <t>EXCESS LAND:</t>
  </si>
  <si>
    <t>ECO SITE:</t>
  </si>
  <si>
    <t>NET STR:</t>
  </si>
  <si>
    <t>TOTAL LAND:</t>
  </si>
  <si>
    <t>B.Y. LND:</t>
  </si>
  <si>
    <t>STRUCTURE:</t>
  </si>
  <si>
    <t>BY SITE ASMT:</t>
  </si>
  <si>
    <t>SALE PRICE</t>
  </si>
  <si>
    <t>Appraiser ID:</t>
  </si>
  <si>
    <t>YEAR:</t>
  </si>
  <si>
    <t>SALE DATE</t>
  </si>
  <si>
    <t>Today's Date</t>
  </si>
  <si>
    <t>Appraiser Name</t>
  </si>
  <si>
    <t>To automatically plot the subject and comp addresses, click the top button on the left. You can then use the snipping tool to copy the map, and then click the bottom button to paste it in the blank page to the left.</t>
  </si>
  <si>
    <t>Appeal</t>
  </si>
  <si>
    <t>Transfer</t>
  </si>
  <si>
    <t>Appeal Number</t>
  </si>
  <si>
    <t>Hearing Date</t>
  </si>
  <si>
    <t>2013/2014</t>
  </si>
  <si>
    <t>Effective Date of Appraisal</t>
  </si>
  <si>
    <t>Agent Name</t>
  </si>
  <si>
    <t>Applicant Name</t>
  </si>
  <si>
    <t>C/O</t>
  </si>
  <si>
    <t>Appeal Board Number</t>
  </si>
  <si>
    <t>Prop 8</t>
  </si>
  <si>
    <t>Base Year</t>
  </si>
  <si>
    <t>Parcel Number</t>
  </si>
  <si>
    <t>Appraiser ID</t>
  </si>
  <si>
    <t>APPRAISAL DETAILS</t>
  </si>
  <si>
    <t>APPEAL DETAILS</t>
  </si>
  <si>
    <t>PROPERTY IDENTIFICATION</t>
  </si>
  <si>
    <t>VALUATION DETAILS</t>
  </si>
  <si>
    <t>APPRAISER INFORMATION</t>
  </si>
  <si>
    <t>SUBJECT PROPERTY PHOTO</t>
  </si>
  <si>
    <t>(Insert Subject Photo Here)</t>
  </si>
  <si>
    <t>PARCEL</t>
  </si>
  <si>
    <t>The Sales Comparison Approach uses the sales of properties similar to the subject to arrive at an estimate of value. Adjustments to the sale price of the comparables were made where the characteristics of the comparables differed from those of the subject.  Adequate market information was available to arrive at a reasonable estimate of value, and the value indicated by the Sales Comparison Approach is therefore considered to be reliable.</t>
  </si>
  <si>
    <t>ACREAGE</t>
  </si>
  <si>
    <t>SUBJECT PROPERTY LOCATION</t>
  </si>
  <si>
    <t>ROLL VALUE</t>
  </si>
  <si>
    <t>EFF. DATE</t>
  </si>
  <si>
    <t>PROPERTY LOCATION</t>
  </si>
  <si>
    <t>OR</t>
  </si>
  <si>
    <t>Kyle Edmonds</t>
  </si>
  <si>
    <t xml:space="preserve">        OR</t>
  </si>
  <si>
    <t>Manual Override</t>
  </si>
  <si>
    <t>Riverside Commercial</t>
  </si>
  <si>
    <t>NC</t>
  </si>
  <si>
    <t>APN</t>
  </si>
  <si>
    <t>Section</t>
  </si>
  <si>
    <t>Tax Year</t>
  </si>
  <si>
    <t>Total</t>
  </si>
  <si>
    <t>Land</t>
  </si>
  <si>
    <t>Structure</t>
  </si>
  <si>
    <t>a</t>
  </si>
  <si>
    <t>ID #:</t>
  </si>
  <si>
    <t>MULTI-FAMILY RESIDENTIAL VALUATION</t>
  </si>
  <si>
    <t>DATE:</t>
  </si>
  <si>
    <t>APARTMENT  ADJUSTMENTS  PER  UNIT</t>
  </si>
  <si>
    <t>INCOME  &amp;  EXPENSES</t>
  </si>
  <si>
    <t>Description:</t>
  </si>
  <si>
    <t>SALE # 1</t>
  </si>
  <si>
    <t>%</t>
  </si>
  <si>
    <t>SALE # 2</t>
  </si>
  <si>
    <t>SALE # 3</t>
  </si>
  <si>
    <t>No. of Units</t>
  </si>
  <si>
    <t xml:space="preserve">Rent </t>
  </si>
  <si>
    <t>Annual Rent</t>
  </si>
  <si>
    <t>Assessment #:</t>
  </si>
  <si>
    <t>Bachelor</t>
  </si>
  <si>
    <t>Address:</t>
  </si>
  <si>
    <t>1-Bdrm, 1-Ba</t>
  </si>
  <si>
    <t>Ind. Sale Price:</t>
  </si>
  <si>
    <t>Eff. Date/Time:</t>
  </si>
  <si>
    <t>2-Bdrm, 1-Ba</t>
  </si>
  <si>
    <t>Adj Sale Price:</t>
  </si>
  <si>
    <t>2-Bdrm, 11/2-Ba</t>
  </si>
  <si>
    <t>Location:</t>
  </si>
  <si>
    <t>2-Bdrm, 2-Ba</t>
  </si>
  <si>
    <t># of Units:</t>
  </si>
  <si>
    <t>3-Bdrm, 1-Ba</t>
  </si>
  <si>
    <t>Net Leasable Area:</t>
  </si>
  <si>
    <t>3-Bdrm, 2-Ba</t>
  </si>
  <si>
    <t>Unit SizeMix:</t>
  </si>
  <si>
    <t xml:space="preserve">  3-Bdrm, 3-Ba</t>
  </si>
  <si>
    <t>Age:</t>
  </si>
  <si>
    <t>Total Units</t>
  </si>
  <si>
    <t>Condition:</t>
  </si>
  <si>
    <t>Class:</t>
  </si>
  <si>
    <t>Rent Per SF</t>
  </si>
  <si>
    <t>Acreage:</t>
  </si>
  <si>
    <t>SqFt Lot Per Unit:</t>
  </si>
  <si>
    <t>Annual Potential Gross Income:</t>
  </si>
  <si>
    <t xml:space="preserve">Amenities:      </t>
  </si>
  <si>
    <t>Less: V &amp; C</t>
  </si>
  <si>
    <t>OAR</t>
  </si>
  <si>
    <t>Plus: Ancillary Income</t>
  </si>
  <si>
    <t>Value Per Unit</t>
  </si>
  <si>
    <t>Eff. Gross Income</t>
  </si>
  <si>
    <t>X Total % Adj:</t>
  </si>
  <si>
    <t>Less: Expenses</t>
  </si>
  <si>
    <t>Indicated Value Per Unit:</t>
  </si>
  <si>
    <t>Expenses Per Unit:</t>
  </si>
  <si>
    <t>Net Operating Income:</t>
  </si>
  <si>
    <t>Indicated Value by Market Approach:</t>
  </si>
  <si>
    <t>PER UNIT:</t>
  </si>
  <si>
    <t>=</t>
  </si>
  <si>
    <t>Tax</t>
  </si>
  <si>
    <t>+</t>
  </si>
  <si>
    <t>Rate</t>
  </si>
  <si>
    <t xml:space="preserve">COMMENTS:   </t>
  </si>
  <si>
    <t>MARKET APPROACH:</t>
  </si>
  <si>
    <t>Capitalized Value:</t>
  </si>
  <si>
    <t>$</t>
  </si>
  <si>
    <t xml:space="preserve">    Less:</t>
  </si>
  <si>
    <t>Lease-Up Loss</t>
  </si>
  <si>
    <t>Personal Property</t>
  </si>
  <si>
    <t>INCOME APPROACH:</t>
  </si>
  <si>
    <t>Value Indication by Direct Cap:</t>
  </si>
  <si>
    <r>
      <t xml:space="preserve">INCOME APPROACH </t>
    </r>
    <r>
      <rPr>
        <sz val="11"/>
        <color theme="1"/>
        <rFont val="Calibri"/>
        <family val="2"/>
        <scheme val="minor"/>
      </rPr>
      <t>(</t>
    </r>
    <r>
      <rPr>
        <sz val="8"/>
        <rFont val="Arial"/>
        <family val="2"/>
      </rPr>
      <t>ROUNDED):</t>
    </r>
  </si>
  <si>
    <t>COST APPROACH:</t>
  </si>
  <si>
    <t>N/A</t>
  </si>
  <si>
    <t>Value Per Unit:</t>
  </si>
  <si>
    <t>CONCLUSION:</t>
  </si>
  <si>
    <t>LAND</t>
  </si>
  <si>
    <t>$/SF:</t>
  </si>
  <si>
    <t>Acre(s)</t>
  </si>
  <si>
    <t>CORRELATED VALUE</t>
  </si>
  <si>
    <t>STRUCTURE</t>
  </si>
  <si>
    <t>ACR 704-20</t>
  </si>
  <si>
    <t xml:space="preserve">  </t>
  </si>
  <si>
    <t>TOTAL</t>
  </si>
  <si>
    <t xml:space="preserve">The rent used is the actual subject contract rent of $0.93/Sqft/Month. Lease comparables have also been included in this packet. </t>
  </si>
  <si>
    <r>
      <t>The Overall Rate is extracted from similar property sales to the subject.  The OAR conclusion as of the lien date is 5.15</t>
    </r>
    <r>
      <rPr>
        <i/>
        <sz val="12"/>
        <color indexed="56"/>
        <rFont val="Century Gothic"/>
        <family val="2"/>
      </rPr>
      <t>%.</t>
    </r>
  </si>
  <si>
    <t>The following reconstructed operating statement is based on the information above.</t>
  </si>
  <si>
    <t>Appeal #:</t>
  </si>
  <si>
    <t>Pin #(s):</t>
  </si>
  <si>
    <t>Appeal Type:</t>
  </si>
  <si>
    <t>Effective date:</t>
  </si>
  <si>
    <t>Subject description:</t>
  </si>
  <si>
    <t>Pin #:</t>
  </si>
  <si>
    <t>Property type:</t>
  </si>
  <si>
    <t>Situs:</t>
  </si>
  <si>
    <t>Notes:</t>
  </si>
  <si>
    <t>Occupancy:</t>
  </si>
  <si>
    <t>Assessor proposed Value</t>
  </si>
  <si>
    <t>/sf</t>
  </si>
  <si>
    <t>Roll Value:</t>
  </si>
  <si>
    <t>Applicant's Opinion of Value:</t>
  </si>
  <si>
    <t>Recent Sale History (Sale price, sale date, pins involved, rule 2?, etc.):</t>
  </si>
  <si>
    <t>Prior sale within 10 years of eff. date?</t>
  </si>
  <si>
    <t>Same pins as those included in appeal?</t>
  </si>
  <si>
    <t>Sale date:</t>
  </si>
  <si>
    <t>Sale price:</t>
  </si>
  <si>
    <t>Enrolled Value:</t>
  </si>
  <si>
    <t>Subsequent Sale after appeal effective date (Sale price, sale date, pins involved, rule 2?, etc.):</t>
  </si>
  <si>
    <t>Any subsequent re-appraisable sale?</t>
  </si>
  <si>
    <t>Currently Listed (If so what are the details)?</t>
  </si>
  <si>
    <t>Currently listed?</t>
  </si>
  <si>
    <t>If listed currently, for how much?</t>
  </si>
  <si>
    <t>Listed in last 5 years if not currently?</t>
  </si>
  <si>
    <t>List price of non-active listing?</t>
  </si>
  <si>
    <t>Financials received</t>
  </si>
  <si>
    <t>Capitalized Actuals (What did the I&amp;E cap out at?):</t>
  </si>
  <si>
    <t>Concluding Notes (Why should this be a reduction?):</t>
  </si>
  <si>
    <t>Valuation workup location:</t>
  </si>
  <si>
    <t>Sqft:</t>
  </si>
  <si>
    <t>Yes</t>
  </si>
  <si>
    <t>No</t>
  </si>
  <si>
    <t>$0.93/SF monthly rent appears to be below market. CoStar notes regarding the 2021 sale, "The 79,515 square foot industrial building was acquired in a long-term sale-leaseback transaction with in-place rent estimated to be 25% below market rates."
The term of the lease back was not disclosed.
The buyer reported the cap rate at 3.5% .</t>
  </si>
  <si>
    <t>\\rcant7.asrclkrec.org\data\Commercial\__Riv Com\Appeals\Appeal work (Appraisers)\Kyle\2026 Hearing Date\2.11.26\24-00553</t>
  </si>
  <si>
    <t>100% Leased</t>
  </si>
  <si>
    <t>Both income and comparative sales approaches support a minor reduction. The recommended 5% reduction puts the subject at the high-end of comparable sales.</t>
  </si>
  <si>
    <t>Valuation - Actual Income Capitalization</t>
  </si>
  <si>
    <t>Vacancy and collection lossess are 0% as the property is fully leased. Income potential is estimated on a triple net rent basis.  The 3.24% of EGI are the actual expenses of the subject property (See P&amp; L statement within this packet).</t>
  </si>
  <si>
    <t>Multi-fam.</t>
  </si>
  <si>
    <t>Quality/Condition</t>
  </si>
  <si>
    <t>Clear Height (ft)</t>
  </si>
  <si>
    <t>Clear Height</t>
  </si>
  <si>
    <t>Enter PIN to left, click button above</t>
  </si>
  <si>
    <t>Select your comps in CoStar using the check box, then click remove &gt; remove unselected. Then export with the following layout. Note save location and click "Import Comps" button above and select exported file:</t>
  </si>
  <si>
    <t>CEA Value</t>
  </si>
  <si>
    <t>Eff. Date +90</t>
  </si>
  <si>
    <t>&lt;-- Manually adjust quality</t>
  </si>
  <si>
    <t>100% NC</t>
  </si>
  <si>
    <t>PC</t>
  </si>
  <si>
    <t>PC Percentage</t>
  </si>
  <si>
    <t>Sale Price</t>
  </si>
  <si>
    <t>APPRAISER NOTES</t>
  </si>
  <si>
    <t>.</t>
  </si>
  <si>
    <t>CORONA</t>
  </si>
  <si>
    <t xml:space="preserve">  4-Bdrm, 2-Ba</t>
  </si>
  <si>
    <t>Comparable sales support value of $2,000,000 for subject. Subject also has 0.30 acres</t>
  </si>
  <si>
    <t>of excess land.</t>
  </si>
  <si>
    <t>Limited comparable rent examples. Subject is comprised of SFR and ADUs,</t>
  </si>
  <si>
    <t>not a typical multi-family configuration.</t>
  </si>
  <si>
    <t xml:space="preserve">The rent used is the actual subject average contract rent of $2.20/Sqft/Month. Lease comparables have also been included in this packet. </t>
  </si>
  <si>
    <t>Rev</t>
  </si>
  <si>
    <t>util</t>
  </si>
  <si>
    <t>maint</t>
  </si>
  <si>
    <t>mgmt</t>
  </si>
  <si>
    <t>Vacancy and collection lossess are 0% as the property is fully leased. Income potential is estimated on a full-service gross rent basis.  The 24.3% of EGI are the actual expenses of the subject property (See income statement within this packet).</t>
  </si>
  <si>
    <r>
      <t>The Overall Rate is based on similar property sales to the subject.</t>
    </r>
    <r>
      <rPr>
        <sz val="12"/>
        <color rgb="FF003366"/>
        <rFont val="Century Gothic"/>
        <family val="2"/>
      </rPr>
      <t xml:space="preserve">  The OAR conclusion as of the lien date is 6%, and 1.12% is added to account for the tax rate as the rent used is FSG.</t>
    </r>
  </si>
  <si>
    <t>Lease up discount</t>
  </si>
  <si>
    <t>Total Lease Up Costs</t>
  </si>
  <si>
    <t>Leased Area</t>
  </si>
  <si>
    <t>Area to be leased</t>
  </si>
  <si>
    <t>Rent Rate (annual/monthly)</t>
  </si>
  <si>
    <t>Build out allowance (Per/sf)</t>
  </si>
  <si>
    <t>Commision Rate</t>
  </si>
  <si>
    <t>Typical Lease Term in Years</t>
  </si>
  <si>
    <t>Lease Up Term - Months</t>
  </si>
  <si>
    <t>Year 1 (in months)</t>
  </si>
  <si>
    <t>Vacant Space</t>
  </si>
  <si>
    <t>Annual Absorption (Lease up)</t>
  </si>
  <si>
    <t>Vacant Space (End of Period)</t>
  </si>
  <si>
    <t>Total Rent - Lost Income</t>
  </si>
  <si>
    <t>Total Commissions</t>
  </si>
  <si>
    <t>Total Tenant Improvements</t>
  </si>
  <si>
    <t>Total Lease Up Cost</t>
  </si>
  <si>
    <t>Discount Factor</t>
  </si>
  <si>
    <t>Present Value Lease Up Cost</t>
  </si>
  <si>
    <t>Cumulative by Year</t>
  </si>
  <si>
    <t>Year 2 (in months)</t>
  </si>
  <si>
    <t>Total Rent (Lost Income)</t>
  </si>
  <si>
    <t>Year 3 (in months)</t>
  </si>
  <si>
    <t>Annual Discount Rate</t>
  </si>
  <si>
    <t>noi</t>
  </si>
  <si>
    <t>Lease Up</t>
  </si>
  <si>
    <t>Stabilized Occupancy</t>
  </si>
  <si>
    <t>NNN</t>
  </si>
  <si>
    <t>Unit</t>
  </si>
  <si>
    <t>SqFt</t>
  </si>
  <si>
    <t>$ PSF</t>
  </si>
  <si>
    <t>$/PSF/MO</t>
  </si>
  <si>
    <t>Monthly Rent</t>
  </si>
  <si>
    <t>Rent From</t>
  </si>
  <si>
    <t>Rent To</t>
  </si>
  <si>
    <t>Lease From</t>
  </si>
  <si>
    <t>Lease To</t>
  </si>
  <si>
    <t>Smile Ensure Dental</t>
  </si>
  <si>
    <t>Village Grove Cleaners</t>
  </si>
  <si>
    <t>Launderland Coin-Op Laundry</t>
  </si>
  <si>
    <t>Tao Massage</t>
  </si>
  <si>
    <t>Kristy's Donuts</t>
  </si>
  <si>
    <t>Del Lago Liquor</t>
  </si>
  <si>
    <t>1282-101</t>
  </si>
  <si>
    <t>Goon's Barber Lounge</t>
  </si>
  <si>
    <t>1282-102</t>
  </si>
  <si>
    <t>Polished Nails &amp; Spa</t>
  </si>
  <si>
    <t>Most recent lease highlighted (Tao Massage). Leased for 5 years beginning 8/1/2023.</t>
  </si>
  <si>
    <t>Per Rule 8(c), property taxes should not be deducted as an expense. Removing the CAM Property Tax from the income statement above yields:</t>
  </si>
  <si>
    <t>Reported NOI</t>
  </si>
  <si>
    <t>NOI to be capitalized</t>
  </si>
  <si>
    <t>Tax Income</t>
  </si>
  <si>
    <t>Market cap rate</t>
  </si>
  <si>
    <t>GP</t>
  </si>
  <si>
    <t>Tax Expense</t>
  </si>
  <si>
    <t>Capitalized Value*</t>
  </si>
  <si>
    <t>Total Expense</t>
  </si>
  <si>
    <t>Note that subject is a tier 2 property.</t>
  </si>
  <si>
    <t>RevObjId(s)</t>
  </si>
  <si>
    <t>Related PIN(s)</t>
  </si>
  <si>
    <t>Sale Date</t>
  </si>
  <si>
    <t>Building Area</t>
  </si>
  <si>
    <t>COMMUnadjusted SP/SQ</t>
  </si>
  <si>
    <t>EffectiveYearBuilt</t>
  </si>
  <si>
    <t>Effective Age</t>
  </si>
  <si>
    <t>Quality Class</t>
  </si>
  <si>
    <t>Class Code</t>
  </si>
  <si>
    <t>Improvement Type</t>
  </si>
  <si>
    <t>Neighborhood</t>
  </si>
  <si>
    <t>Distance From Subject</t>
  </si>
  <si>
    <t>Ceiling Height</t>
  </si>
  <si>
    <t>Indicated / Adjusted</t>
  </si>
  <si>
    <t>Transfer Memo</t>
  </si>
  <si>
    <t>Local Analysis Code</t>
  </si>
  <si>
    <t>Sq ft.</t>
  </si>
  <si>
    <t>Subj</t>
  </si>
  <si>
    <t>Comp</t>
  </si>
  <si>
    <t>STT</t>
  </si>
  <si>
    <t>RIVERSIDE</t>
  </si>
  <si>
    <t>Sale price is supported by comparative sales and income approaches to value. Sale price is enrolled per Rule 2.</t>
  </si>
  <si>
    <t>M1, Corona</t>
  </si>
  <si>
    <t>M1</t>
  </si>
  <si>
    <t>Field</t>
  </si>
  <si>
    <t>CoStar</t>
  </si>
  <si>
    <t>RivCoView</t>
  </si>
  <si>
    <t>Use RCV?</t>
  </si>
  <si>
    <t>PIN</t>
  </si>
  <si>
    <t>Sq Ft</t>
  </si>
  <si>
    <t>1215 GRAPHITE DR</t>
  </si>
  <si>
    <t>Light Industrial</t>
  </si>
  <si>
    <t>2026-0006707</t>
  </si>
  <si>
    <t>M4</t>
  </si>
  <si>
    <t>GRAPHITE DR &amp; CALIFORNIA AVE</t>
  </si>
  <si>
    <t>101-370-038</t>
  </si>
  <si>
    <t>255 GLIDER CIR</t>
  </si>
  <si>
    <t>18'0"</t>
  </si>
  <si>
    <t>211-060-012</t>
  </si>
  <si>
    <t>3403 DURAHART ST</t>
  </si>
  <si>
    <t>16'0"</t>
  </si>
  <si>
    <t>115-200-043</t>
  </si>
  <si>
    <t>127 RADIO RD</t>
  </si>
  <si>
    <t>107-350-010</t>
  </si>
  <si>
    <t>1220 GRAPHITE DR</t>
  </si>
  <si>
    <t>22'0"</t>
  </si>
  <si>
    <t>Clear Height (ft.)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</si>
</sst>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9">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164" formatCode="&quot;$&quot;#,##0"/>
    <numFmt numFmtId="165" formatCode="\(General\);\(\-General\)"/>
    <numFmt numFmtId="166" formatCode="000000000"/>
    <numFmt numFmtId="167" formatCode="mm/dd/yy"/>
    <numFmt numFmtId="168" formatCode="0.0%"/>
    <numFmt numFmtId="169" formatCode="mm/dd/yyyy"/>
    <numFmt numFmtId="170" formatCode="0.0000000000"/>
    <numFmt numFmtId="171" formatCode="&quot;$&quot;#,##0.00"/>
    <numFmt numFmtId="172" formatCode="0000\-0000000"/>
    <numFmt numFmtId="173" formatCode="##.##&quot;AC&quot;"/>
    <numFmt numFmtId="174" formatCode="m/d/yyyy;@"/>
    <numFmt numFmtId="175" formatCode="m/d/yy"/>
    <numFmt numFmtId="176" formatCode="yyyy&quot;R&quot;"/>
    <numFmt numFmtId="177" formatCode="m/d/yy;@"/>
    <numFmt numFmtId="178" formatCode="&quot;$&quot;#,##0;\-&quot;$&quot;#,##0;&quot;$&quot;0"/>
    <numFmt numFmtId="179" formatCode=";;;"/>
    <numFmt numFmtId="180" formatCode="0.0"/>
    <numFmt numFmtId="181" formatCode="0.000"/>
    <numFmt numFmtId="182" formatCode="#,##0.0"/>
    <numFmt numFmtId="183" formatCode="0.000000"/>
    <numFmt numFmtId="184" formatCode="0.0000"/>
    <numFmt numFmtId="185" formatCode="#,##0;[Red]#,##0"/>
    <numFmt numFmtId="186" formatCode="0;0;0"/>
    <numFmt numFmtId="187" formatCode="0.00000"/>
  </numFmts>
  <fonts count="171">
    <font>
      <sz val="11"/>
      <color theme="1"/>
      <name val="Calibri"/>
      <family val="2"/>
      <scheme val="minor"/>
    </font>
    <font>
      <b/>
      <sz val="11"/>
      <color theme="1"/>
      <name val="Calibri"/>
      <family val="2"/>
      <scheme val="minor"/>
    </font>
    <font>
      <sz val="12"/>
      <color theme="1"/>
      <name val="Arial"/>
      <family val="2"/>
    </font>
    <font>
      <sz val="9"/>
      <color theme="1"/>
      <name val="Calibri"/>
      <family val="2"/>
      <scheme val="minor"/>
    </font>
    <font>
      <sz val="12"/>
      <color theme="1"/>
      <name val="Calibri"/>
      <family val="2"/>
      <scheme val="minor"/>
    </font>
    <font>
      <b/>
      <sz val="14"/>
      <color theme="1"/>
      <name val="Calibri"/>
      <family val="2"/>
      <scheme val="minor"/>
    </font>
    <font>
      <sz val="10"/>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b/>
      <sz val="10"/>
      <color theme="1"/>
      <name val="Calibri"/>
      <family val="2"/>
      <scheme val="minor"/>
    </font>
    <font>
      <b/>
      <sz val="18"/>
      <color theme="1"/>
      <name val="Calibri"/>
      <family val="2"/>
      <scheme val="minor"/>
    </font>
    <font>
      <i/>
      <sz val="11"/>
      <color theme="1"/>
      <name val="Calibri"/>
      <family val="2"/>
      <scheme val="minor"/>
    </font>
    <font>
      <sz val="10"/>
      <color rgb="FFFF0000"/>
      <name val="Calibri"/>
      <family val="2"/>
      <scheme val="minor"/>
    </font>
    <font>
      <b/>
      <sz val="12"/>
      <color theme="1"/>
      <name val="Calibri"/>
      <family val="2"/>
      <scheme val="minor"/>
    </font>
    <font>
      <sz val="10"/>
      <name val="ZZ_AP_Arial"/>
    </font>
    <font>
      <b/>
      <sz val="11"/>
      <color rgb="FFFF0000"/>
      <name val="Calibri"/>
      <family val="2"/>
      <scheme val="minor"/>
    </font>
    <font>
      <sz val="8"/>
      <name val="Arial Narrow"/>
      <family val="2"/>
    </font>
    <font>
      <sz val="10"/>
      <name val="Calibri"/>
      <family val="2"/>
      <scheme val="minor"/>
    </font>
    <font>
      <sz val="10"/>
      <name val="Arial Narrow"/>
      <family val="2"/>
    </font>
    <font>
      <sz val="10"/>
      <color theme="1"/>
      <name val="Arial Narrow"/>
      <family val="2"/>
    </font>
    <font>
      <sz val="8"/>
      <color theme="1"/>
      <name val="Arial"/>
      <family val="2"/>
    </font>
    <font>
      <b/>
      <sz val="10"/>
      <color rgb="FFFFFF00"/>
      <name val="Calibri"/>
      <family val="2"/>
      <scheme val="minor"/>
    </font>
    <font>
      <b/>
      <sz val="12"/>
      <color rgb="FFFF0000"/>
      <name val="Calibri"/>
      <family val="2"/>
      <scheme val="minor"/>
    </font>
    <font>
      <sz val="11"/>
      <color theme="1"/>
      <name val="Calibri"/>
      <family val="2"/>
    </font>
    <font>
      <sz val="11"/>
      <color theme="1"/>
      <name val="Arial Narrow"/>
      <family val="2"/>
    </font>
    <font>
      <sz val="14"/>
      <name val="Arial Narrow"/>
      <family val="2"/>
    </font>
    <font>
      <sz val="12"/>
      <color theme="1"/>
      <name val="Arial Narrow"/>
      <family val="2"/>
    </font>
    <font>
      <sz val="12"/>
      <name val="Arial Narrow"/>
      <family val="2"/>
    </font>
    <font>
      <sz val="12"/>
      <name val="Calibri"/>
      <family val="2"/>
      <scheme val="minor"/>
    </font>
    <font>
      <b/>
      <sz val="12"/>
      <name val="Calibri"/>
      <family val="2"/>
      <scheme val="minor"/>
    </font>
    <font>
      <b/>
      <sz val="14"/>
      <name val="Calibri"/>
      <family val="2"/>
      <scheme val="minor"/>
    </font>
    <font>
      <sz val="11"/>
      <color indexed="8"/>
      <name val="Calibri"/>
      <family val="2"/>
      <scheme val="minor"/>
    </font>
    <font>
      <sz val="9"/>
      <color indexed="8"/>
      <name val="Arial Narrow"/>
      <family val="2"/>
    </font>
    <font>
      <b/>
      <sz val="11"/>
      <color indexed="8"/>
      <name val="Calibri"/>
      <family val="2"/>
      <scheme val="minor"/>
    </font>
    <font>
      <sz val="9"/>
      <color indexed="8"/>
      <name val="Calibri"/>
      <family val="2"/>
      <scheme val="minor"/>
    </font>
    <font>
      <sz val="14"/>
      <color theme="1"/>
      <name val="Calibri"/>
      <family val="2"/>
      <scheme val="minor"/>
    </font>
    <font>
      <sz val="14"/>
      <color theme="1"/>
      <name val="Arial Narrow"/>
      <family val="2"/>
    </font>
    <font>
      <b/>
      <sz val="14"/>
      <color theme="1"/>
      <name val="Arial Narrow"/>
      <family val="2"/>
    </font>
    <font>
      <b/>
      <sz val="16"/>
      <name val="Arial Narrow"/>
      <family val="2"/>
    </font>
    <font>
      <b/>
      <sz val="16"/>
      <name val="Calibri"/>
      <family val="2"/>
      <scheme val="minor"/>
    </font>
    <font>
      <b/>
      <sz val="22"/>
      <color theme="1"/>
      <name val="Arial Narrow"/>
      <family val="2"/>
    </font>
    <font>
      <b/>
      <sz val="22"/>
      <color theme="1"/>
      <name val="Calibri"/>
      <family val="2"/>
      <scheme val="minor"/>
    </font>
    <font>
      <b/>
      <sz val="18"/>
      <color indexed="8"/>
      <name val="Calibri"/>
      <family val="2"/>
      <scheme val="minor"/>
    </font>
    <font>
      <b/>
      <sz val="18"/>
      <color theme="1"/>
      <name val="Arial Narrow"/>
      <family val="2"/>
    </font>
    <font>
      <sz val="10"/>
      <color theme="0"/>
      <name val="ZZ_AP_Arial"/>
    </font>
    <font>
      <b/>
      <sz val="10"/>
      <color theme="5"/>
      <name val="Arial Narrow"/>
      <family val="2"/>
    </font>
    <font>
      <sz val="8"/>
      <color theme="0"/>
      <name val="ZZ_AP_Arial"/>
    </font>
    <font>
      <sz val="8"/>
      <color theme="0"/>
      <name val="Arial"/>
      <family val="2"/>
    </font>
    <font>
      <b/>
      <sz val="14"/>
      <color indexed="12"/>
      <name val="Calibri"/>
      <family val="2"/>
      <scheme val="minor"/>
    </font>
    <font>
      <b/>
      <sz val="11"/>
      <color indexed="12"/>
      <name val="Calibri"/>
      <family val="2"/>
      <scheme val="minor"/>
    </font>
    <font>
      <b/>
      <sz val="12"/>
      <color indexed="8"/>
      <name val="Calibri"/>
      <family val="2"/>
      <scheme val="minor"/>
    </font>
    <font>
      <sz val="8"/>
      <name val="ZZ_AP_Arial"/>
    </font>
    <font>
      <b/>
      <sz val="14"/>
      <color indexed="8"/>
      <name val="Calibri"/>
      <family val="2"/>
      <scheme val="minor"/>
    </font>
    <font>
      <b/>
      <sz val="16"/>
      <color indexed="8"/>
      <name val="Calibri"/>
      <family val="2"/>
      <scheme val="minor"/>
    </font>
    <font>
      <sz val="11"/>
      <color indexed="21"/>
      <name val="Calibri"/>
      <family val="2"/>
      <scheme val="minor"/>
    </font>
    <font>
      <sz val="12"/>
      <name val="ZZ_AP_Arial"/>
    </font>
    <font>
      <sz val="12"/>
      <color indexed="8"/>
      <name val="Calibri"/>
      <family val="2"/>
      <scheme val="minor"/>
    </font>
    <font>
      <sz val="14"/>
      <name val="ZZ_AP_Arial"/>
    </font>
    <font>
      <sz val="14"/>
      <color theme="1"/>
      <name val="Arial"/>
      <family val="2"/>
    </font>
    <font>
      <b/>
      <sz val="14"/>
      <color indexed="8"/>
      <name val="Arial Narrow"/>
      <family val="2"/>
    </font>
    <font>
      <sz val="14"/>
      <name val="Calibri"/>
      <family val="2"/>
      <scheme val="minor"/>
    </font>
    <font>
      <sz val="12"/>
      <color indexed="23"/>
      <name val="Calibri"/>
      <family val="2"/>
      <scheme val="minor"/>
    </font>
    <font>
      <b/>
      <i/>
      <sz val="12"/>
      <color theme="1"/>
      <name val="Calibri"/>
      <family val="2"/>
      <scheme val="minor"/>
    </font>
    <font>
      <b/>
      <sz val="12"/>
      <color indexed="8"/>
      <name val="ZZ_AP_Arial"/>
    </font>
    <font>
      <sz val="18"/>
      <name val="ZZ_AP_Arial"/>
    </font>
    <font>
      <u/>
      <sz val="11"/>
      <color theme="10"/>
      <name val="Calibri"/>
      <family val="2"/>
      <scheme val="minor"/>
    </font>
    <font>
      <sz val="18"/>
      <color theme="1"/>
      <name val="Calibri"/>
      <family val="2"/>
      <scheme val="minor"/>
    </font>
    <font>
      <sz val="10"/>
      <name val="CG Omega"/>
      <family val="2"/>
    </font>
    <font>
      <b/>
      <sz val="11"/>
      <name val="Calibri"/>
      <family val="2"/>
    </font>
    <font>
      <sz val="11"/>
      <color theme="0" tint="-0.14999847407452621"/>
      <name val="Calibri"/>
      <family val="2"/>
      <scheme val="minor"/>
    </font>
    <font>
      <b/>
      <sz val="16"/>
      <color theme="1"/>
      <name val="Calibri"/>
      <family val="2"/>
      <scheme val="minor"/>
    </font>
    <font>
      <b/>
      <i/>
      <sz val="10"/>
      <name val="Calibri"/>
      <family val="2"/>
      <scheme val="minor"/>
    </font>
    <font>
      <b/>
      <i/>
      <sz val="10"/>
      <color theme="1"/>
      <name val="Calibri"/>
      <family val="2"/>
      <scheme val="minor"/>
    </font>
    <font>
      <sz val="11"/>
      <name val="Calibri"/>
      <family val="2"/>
      <scheme val="minor"/>
    </font>
    <font>
      <b/>
      <sz val="22"/>
      <color rgb="FFFF0000"/>
      <name val="Calibri"/>
      <family val="2"/>
      <scheme val="minor"/>
    </font>
    <font>
      <b/>
      <i/>
      <sz val="11"/>
      <color rgb="FFFFFF00"/>
      <name val="Calibri"/>
      <family val="2"/>
      <scheme val="minor"/>
    </font>
    <font>
      <b/>
      <sz val="18"/>
      <name val="Calibri"/>
      <family val="2"/>
      <scheme val="minor"/>
    </font>
    <font>
      <b/>
      <sz val="10"/>
      <color indexed="8"/>
      <name val="Arial Narrow"/>
      <family val="2"/>
    </font>
    <font>
      <sz val="11"/>
      <name val="Arial Narrow"/>
      <family val="2"/>
    </font>
    <font>
      <b/>
      <i/>
      <sz val="12"/>
      <name val="Arial Narrow"/>
      <family val="2"/>
    </font>
    <font>
      <sz val="8"/>
      <color theme="1"/>
      <name val="Arial Narrow"/>
      <family val="2"/>
    </font>
    <font>
      <sz val="10"/>
      <color theme="0"/>
      <name val="Arial Narrow"/>
      <family val="2"/>
    </font>
    <font>
      <b/>
      <sz val="18"/>
      <color indexed="8"/>
      <name val="Calibri"/>
      <family val="2"/>
    </font>
    <font>
      <sz val="10"/>
      <name val="Calibri"/>
      <family val="2"/>
    </font>
    <font>
      <b/>
      <sz val="10"/>
      <color indexed="8"/>
      <name val="Calibri"/>
      <family val="2"/>
    </font>
    <font>
      <sz val="12"/>
      <name val="Calibri"/>
      <family val="2"/>
    </font>
    <font>
      <sz val="11"/>
      <name val="Calibri"/>
      <family val="2"/>
    </font>
    <font>
      <sz val="10"/>
      <color indexed="8"/>
      <name val="Calibri"/>
      <family val="2"/>
    </font>
    <font>
      <sz val="11"/>
      <color indexed="8"/>
      <name val="Calibri"/>
      <family val="2"/>
    </font>
    <font>
      <sz val="12"/>
      <color theme="1"/>
      <name val="Calibri"/>
      <family val="2"/>
    </font>
    <font>
      <b/>
      <sz val="12"/>
      <color indexed="10"/>
      <name val="Calibri"/>
      <family val="2"/>
    </font>
    <font>
      <b/>
      <sz val="10"/>
      <color indexed="10"/>
      <name val="Calibri"/>
      <family val="2"/>
    </font>
    <font>
      <sz val="10"/>
      <color rgb="FFFF0000"/>
      <name val="Calibri"/>
      <family val="2"/>
    </font>
    <font>
      <b/>
      <sz val="14"/>
      <color indexed="8"/>
      <name val="Calibri"/>
      <family val="2"/>
    </font>
    <font>
      <b/>
      <sz val="12"/>
      <color indexed="8"/>
      <name val="Calibri"/>
      <family val="2"/>
    </font>
    <font>
      <sz val="12"/>
      <color indexed="8"/>
      <name val="Calibri"/>
      <family val="2"/>
    </font>
    <font>
      <b/>
      <sz val="12"/>
      <color rgb="FFFF0000"/>
      <name val="Calibri"/>
      <family val="2"/>
    </font>
    <font>
      <b/>
      <sz val="13"/>
      <color indexed="8"/>
      <name val="Calibri"/>
      <family val="2"/>
    </font>
    <font>
      <sz val="10"/>
      <color indexed="21"/>
      <name val="Calibri"/>
      <family val="2"/>
    </font>
    <font>
      <b/>
      <sz val="12"/>
      <color indexed="12"/>
      <name val="Calibri"/>
      <family val="2"/>
    </font>
    <font>
      <b/>
      <sz val="16"/>
      <name val="Calibri"/>
      <family val="2"/>
    </font>
    <font>
      <sz val="10"/>
      <color rgb="FFFFFFFF"/>
      <name val="Arial Narrow"/>
      <family val="2"/>
    </font>
    <font>
      <b/>
      <sz val="11"/>
      <color theme="1"/>
      <name val="Calibri"/>
      <family val="2"/>
    </font>
    <font>
      <b/>
      <sz val="18"/>
      <color theme="1"/>
      <name val="Calibri"/>
      <family val="2"/>
    </font>
    <font>
      <sz val="10"/>
      <color indexed="56"/>
      <name val="Century Gothic"/>
      <family val="2"/>
    </font>
    <font>
      <sz val="12"/>
      <color indexed="56"/>
      <name val="Century Gothic"/>
      <family val="2"/>
    </font>
    <font>
      <b/>
      <sz val="12"/>
      <color indexed="56"/>
      <name val="Century Gothic"/>
      <family val="2"/>
    </font>
    <font>
      <i/>
      <sz val="12"/>
      <color indexed="56"/>
      <name val="Century Gothic"/>
      <family val="2"/>
    </font>
    <font>
      <sz val="12"/>
      <color indexed="60"/>
      <name val="Century Gothic"/>
      <family val="2"/>
    </font>
    <font>
      <u/>
      <sz val="12"/>
      <color indexed="60"/>
      <name val="Century Gothic"/>
      <family val="2"/>
    </font>
    <font>
      <sz val="12"/>
      <color theme="0"/>
      <name val="Century Gothic"/>
      <family val="2"/>
    </font>
    <font>
      <u/>
      <sz val="12"/>
      <color theme="0"/>
      <name val="Century Gothic"/>
      <family val="2"/>
    </font>
    <font>
      <b/>
      <sz val="11"/>
      <color indexed="56"/>
      <name val="Century Gothic"/>
      <family val="2"/>
    </font>
    <font>
      <sz val="14"/>
      <color indexed="56"/>
      <name val="Century Gothic"/>
      <family val="2"/>
    </font>
    <font>
      <b/>
      <sz val="18"/>
      <color indexed="56"/>
      <name val="Century Gothic"/>
      <family val="2"/>
    </font>
    <font>
      <b/>
      <sz val="14"/>
      <name val="Century Gothic"/>
      <family val="2"/>
    </font>
    <font>
      <b/>
      <sz val="16"/>
      <color indexed="56"/>
      <name val="Century Gothic"/>
      <family val="2"/>
    </font>
    <font>
      <b/>
      <sz val="16"/>
      <name val="Century Gothic"/>
      <family val="2"/>
    </font>
    <font>
      <sz val="8"/>
      <color theme="1"/>
      <name val="Calibri"/>
      <family val="2"/>
      <scheme val="minor"/>
    </font>
    <font>
      <b/>
      <sz val="11"/>
      <name val="Calibri"/>
      <family val="2"/>
      <scheme val="minor"/>
    </font>
    <font>
      <sz val="11"/>
      <color rgb="FF000000"/>
      <name val="Calibri"/>
      <family val="2"/>
    </font>
    <font>
      <sz val="12"/>
      <color rgb="FF000000"/>
      <name val="Calibri"/>
      <family val="2"/>
    </font>
    <font>
      <sz val="10"/>
      <color theme="1"/>
      <name val="Calibri"/>
      <family val="2"/>
    </font>
    <font>
      <b/>
      <sz val="11"/>
      <color rgb="FF000000"/>
      <name val="Calibri"/>
      <family val="2"/>
    </font>
    <font>
      <b/>
      <sz val="14"/>
      <color rgb="FFFF0000"/>
      <name val="Calibri"/>
      <family val="2"/>
    </font>
    <font>
      <b/>
      <sz val="14"/>
      <color rgb="FF000000"/>
      <name val="Calibri"/>
      <family val="2"/>
    </font>
    <font>
      <b/>
      <sz val="20"/>
      <name val="Calibri"/>
      <family val="2"/>
    </font>
    <font>
      <b/>
      <sz val="11"/>
      <name val="Calibri"/>
      <family val="2"/>
    </font>
    <font>
      <b/>
      <sz val="18"/>
      <name val="Calibri"/>
      <family val="2"/>
    </font>
    <font>
      <b/>
      <sz val="20"/>
      <name val="Calibri"/>
      <family val="2"/>
    </font>
    <font>
      <sz val="10"/>
      <name val="Arial"/>
      <family val="2"/>
    </font>
    <font>
      <sz val="11"/>
      <name val="Arial"/>
      <family val="2"/>
    </font>
    <font>
      <b/>
      <sz val="12"/>
      <name val="Arial"/>
      <family val="2"/>
    </font>
    <font>
      <b/>
      <sz val="10"/>
      <color indexed="10"/>
      <name val="Arial"/>
      <family val="2"/>
    </font>
    <font>
      <b/>
      <sz val="10"/>
      <name val="Arial"/>
      <family val="2"/>
    </font>
    <font>
      <sz val="7"/>
      <name val="Arial"/>
      <family val="2"/>
    </font>
    <font>
      <sz val="8"/>
      <name val="Arial"/>
      <family val="2"/>
    </font>
    <font>
      <sz val="9"/>
      <name val="Arial"/>
      <family val="2"/>
    </font>
    <font>
      <sz val="8"/>
      <color indexed="10"/>
      <name val="Arial"/>
      <family val="2"/>
    </font>
    <font>
      <b/>
      <sz val="11"/>
      <name val="Arial"/>
      <family val="2"/>
    </font>
    <font>
      <sz val="10"/>
      <color indexed="12"/>
      <name val="Arial"/>
      <family val="2"/>
    </font>
    <font>
      <sz val="10"/>
      <color indexed="10"/>
      <name val="Arial"/>
      <family val="2"/>
    </font>
    <font>
      <sz val="9"/>
      <color indexed="10"/>
      <name val="Arial"/>
      <family val="2"/>
    </font>
    <font>
      <b/>
      <sz val="10"/>
      <color indexed="12"/>
      <name val="Arial"/>
      <family val="2"/>
    </font>
    <font>
      <sz val="9"/>
      <color indexed="12"/>
      <name val="Arial"/>
      <family val="2"/>
    </font>
    <font>
      <b/>
      <sz val="11"/>
      <color indexed="12"/>
      <name val="Arial"/>
      <family val="2"/>
    </font>
    <font>
      <b/>
      <sz val="9"/>
      <color rgb="FFFF0000"/>
      <name val="Arial"/>
      <family val="2"/>
    </font>
    <font>
      <b/>
      <sz val="9"/>
      <color indexed="20"/>
      <name val="Arial"/>
      <family val="2"/>
    </font>
    <font>
      <b/>
      <sz val="9"/>
      <color indexed="17"/>
      <name val="Arial"/>
      <family val="2"/>
    </font>
    <font>
      <b/>
      <sz val="9"/>
      <color indexed="60"/>
      <name val="Arial"/>
      <family val="2"/>
    </font>
    <font>
      <b/>
      <sz val="13"/>
      <name val="Arial"/>
      <family val="2"/>
    </font>
    <font>
      <b/>
      <u/>
      <sz val="12"/>
      <color theme="1"/>
      <name val="Calibri"/>
      <family val="2"/>
      <scheme val="minor"/>
    </font>
    <font>
      <sz val="8"/>
      <color rgb="FF000000"/>
      <name val="Arial"/>
      <family val="2"/>
    </font>
    <font>
      <sz val="12"/>
      <color rgb="FF003366"/>
      <name val="Century Gothic"/>
      <family val="2"/>
    </font>
    <font>
      <sz val="12"/>
      <color rgb="FF993300"/>
      <name val="Century Gothic"/>
      <family val="2"/>
    </font>
    <font>
      <u/>
      <sz val="12"/>
      <color rgb="FF993300"/>
      <name val="Century Gothic"/>
      <family val="2"/>
    </font>
    <font>
      <sz val="8"/>
      <name val="Segoe UI"/>
      <family val="2"/>
    </font>
  </fonts>
  <fills count="51">
    <fill>
      <patternFill patternType="none"/>
    </fill>
    <fill>
      <patternFill patternType="gray125"/>
    </fill>
    <fill>
      <patternFill patternType="solid">
        <fgColor indexed="9"/>
      </patternFill>
    </fill>
    <fill>
      <patternFill patternType="solid">
        <fgColor rgb="FF92D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rgb="FFFFC000"/>
        <bgColor indexed="64"/>
      </patternFill>
    </fill>
    <fill>
      <patternFill patternType="solid">
        <fgColor theme="4" tint="0.59999389629810485"/>
        <bgColor indexed="64"/>
      </patternFill>
    </fill>
    <fill>
      <patternFill patternType="solid">
        <fgColor theme="0" tint="-0.499984740745262"/>
        <bgColor indexed="64"/>
      </patternFill>
    </fill>
    <fill>
      <patternFill patternType="solid">
        <fgColor theme="0" tint="-4.9989318521683403E-2"/>
        <bgColor indexed="64"/>
      </patternFill>
    </fill>
    <fill>
      <patternFill patternType="solid">
        <fgColor theme="1"/>
        <bgColor indexed="64"/>
      </patternFill>
    </fill>
    <fill>
      <patternFill patternType="solid">
        <fgColor theme="0" tint="-0.14999847407452621"/>
        <bgColor indexed="64"/>
      </patternFill>
    </fill>
    <fill>
      <patternFill patternType="solid">
        <fgColor rgb="FFD9E1F2"/>
      </patternFill>
    </fill>
    <fill>
      <patternFill patternType="solid">
        <fgColor rgb="FFD9D9D9"/>
        <bgColor indexed="64"/>
      </patternFill>
    </fill>
    <fill>
      <patternFill patternType="solid">
        <fgColor indexed="22"/>
        <bgColor indexed="64"/>
      </patternFill>
    </fill>
    <fill>
      <patternFill patternType="solid">
        <fgColor indexed="41"/>
        <bgColor indexed="64"/>
      </patternFill>
    </fill>
    <fill>
      <patternFill patternType="solid">
        <fgColor rgb="FFFFFF00"/>
        <bgColor indexed="64"/>
      </patternFill>
    </fill>
    <fill>
      <patternFill patternType="solid">
        <fgColor theme="4" tint="0.79998168889431442"/>
        <bgColor indexed="64"/>
      </patternFill>
    </fill>
    <fill>
      <patternFill patternType="solid">
        <fgColor rgb="FFDDEBF7"/>
        <bgColor indexed="64"/>
      </patternFill>
    </fill>
    <fill>
      <patternFill patternType="solid">
        <fgColor rgb="FFF2F2F2"/>
        <bgColor indexed="64"/>
      </patternFill>
    </fill>
    <fill>
      <patternFill patternType="solid">
        <fgColor rgb="FFFFF2CC"/>
        <bgColor indexed="64"/>
      </patternFill>
    </fill>
  </fills>
  <borders count="123">
    <border>
      <left/>
      <right/>
      <top/>
      <bottom/>
      <diagonal/>
    </border>
    <border>
      <left/>
      <right/>
      <top/>
      <bottom style="thin">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ck">
        <color indexed="8"/>
      </left>
      <right style="thick">
        <color indexed="8"/>
      </right>
      <top style="thick">
        <color indexed="8"/>
      </top>
      <bottom style="thick">
        <color indexed="8"/>
      </bottom>
      <diagonal/>
    </border>
    <border>
      <left/>
      <right style="thick">
        <color indexed="8"/>
      </right>
      <top/>
      <bottom/>
      <diagonal/>
    </border>
    <border>
      <left/>
      <right/>
      <top/>
      <bottom style="thick">
        <color indexed="8"/>
      </bottom>
      <diagonal/>
    </border>
    <border>
      <left/>
      <right/>
      <top style="thick">
        <color indexed="8"/>
      </top>
      <bottom/>
      <diagonal/>
    </border>
    <border>
      <left style="medium">
        <color auto="1"/>
      </left>
      <right style="medium">
        <color auto="1"/>
      </right>
      <top style="thick">
        <color indexed="8"/>
      </top>
      <bottom style="thick">
        <color indexed="8"/>
      </bottom>
      <diagonal/>
    </border>
    <border>
      <left style="thick">
        <color indexed="8"/>
      </left>
      <right/>
      <top style="thick">
        <color indexed="8"/>
      </top>
      <bottom style="thick">
        <color indexed="8"/>
      </bottom>
      <diagonal/>
    </border>
    <border>
      <left style="medium">
        <color auto="1"/>
      </left>
      <right style="medium">
        <color auto="1"/>
      </right>
      <top/>
      <bottom style="thick">
        <color indexed="8"/>
      </bottom>
      <diagonal/>
    </border>
    <border>
      <left style="double">
        <color indexed="8"/>
      </left>
      <right/>
      <top/>
      <bottom style="thick">
        <color indexed="8"/>
      </bottom>
      <diagonal/>
    </border>
    <border>
      <left style="medium">
        <color indexed="8"/>
      </left>
      <right/>
      <top/>
      <bottom/>
      <diagonal/>
    </border>
    <border>
      <left/>
      <right style="medium">
        <color indexed="8"/>
      </right>
      <top style="thin">
        <color indexed="64"/>
      </top>
      <bottom style="thin">
        <color indexed="64"/>
      </bottom>
      <diagonal/>
    </border>
    <border>
      <left style="medium">
        <color indexed="8"/>
      </left>
      <right/>
      <top style="thin">
        <color auto="1"/>
      </top>
      <bottom style="thin">
        <color indexed="64"/>
      </bottom>
      <diagonal/>
    </border>
    <border>
      <left style="thin">
        <color auto="1"/>
      </left>
      <right style="medium">
        <color indexed="8"/>
      </right>
      <top style="thin">
        <color auto="1"/>
      </top>
      <bottom style="thin">
        <color auto="1"/>
      </bottom>
      <diagonal/>
    </border>
    <border>
      <left style="medium">
        <color indexed="64"/>
      </left>
      <right style="medium">
        <color indexed="64"/>
      </right>
      <top style="double">
        <color indexed="8"/>
      </top>
      <bottom style="thin">
        <color auto="1"/>
      </bottom>
      <diagonal/>
    </border>
    <border>
      <left style="double">
        <color indexed="64"/>
      </left>
      <right/>
      <top style="double">
        <color indexed="64"/>
      </top>
      <bottom style="thin">
        <color indexed="64"/>
      </bottom>
      <diagonal/>
    </border>
    <border>
      <left style="double">
        <color indexed="8"/>
      </left>
      <right style="double">
        <color indexed="8"/>
      </right>
      <top/>
      <bottom style="double">
        <color indexed="8"/>
      </bottom>
      <diagonal/>
    </border>
    <border>
      <left style="double">
        <color indexed="8"/>
      </left>
      <right style="double">
        <color indexed="8"/>
      </right>
      <top/>
      <bottom style="double">
        <color indexed="64"/>
      </bottom>
      <diagonal/>
    </border>
    <border>
      <left style="double">
        <color indexed="8"/>
      </left>
      <right style="double">
        <color indexed="8"/>
      </right>
      <top style="double">
        <color indexed="8"/>
      </top>
      <bottom/>
      <diagonal/>
    </border>
    <border>
      <left/>
      <right/>
      <top style="thin">
        <color indexed="8"/>
      </top>
      <bottom style="thin">
        <color indexed="8"/>
      </bottom>
      <diagonal/>
    </border>
    <border>
      <left/>
      <right/>
      <top/>
      <bottom style="thin">
        <color indexed="8"/>
      </bottom>
      <diagonal/>
    </border>
    <border>
      <left style="thin">
        <color auto="1"/>
      </left>
      <right/>
      <top/>
      <bottom/>
      <diagonal/>
    </border>
    <border>
      <left/>
      <right style="thin">
        <color indexed="56"/>
      </right>
      <top/>
      <bottom/>
      <diagonal/>
    </border>
    <border>
      <left style="thin">
        <color indexed="56"/>
      </left>
      <right/>
      <top/>
      <bottom/>
      <diagonal/>
    </border>
    <border>
      <left/>
      <right/>
      <top style="thin">
        <color auto="1"/>
      </top>
      <bottom/>
      <diagonal/>
    </border>
    <border>
      <left style="thin">
        <color auto="1"/>
      </left>
      <right/>
      <top style="thin">
        <color auto="1"/>
      </top>
      <bottom/>
      <diagonal/>
    </border>
    <border>
      <left/>
      <right style="thin">
        <color indexed="64"/>
      </right>
      <top style="thin">
        <color indexed="64"/>
      </top>
      <bottom/>
      <diagonal/>
    </border>
    <border>
      <left/>
      <right style="thin">
        <color indexed="56"/>
      </right>
      <top style="thin">
        <color indexed="56"/>
      </top>
      <bottom/>
      <diagonal/>
    </border>
    <border>
      <left/>
      <right/>
      <top style="thick">
        <color indexed="8"/>
      </top>
      <bottom style="thick">
        <color indexed="8"/>
      </bottom>
      <diagonal/>
    </border>
    <border>
      <left style="thin">
        <color indexed="8"/>
      </left>
      <right/>
      <top/>
      <bottom/>
      <diagonal/>
    </border>
    <border>
      <left style="thin">
        <color indexed="8"/>
      </left>
      <right style="thin">
        <color indexed="8"/>
      </right>
      <top/>
      <bottom/>
      <diagonal/>
    </border>
    <border>
      <left style="double">
        <color indexed="8"/>
      </left>
      <right/>
      <top style="double">
        <color indexed="8"/>
      </top>
      <bottom style="double">
        <color indexed="8"/>
      </bottom>
      <diagonal/>
    </border>
    <border>
      <left/>
      <right/>
      <top style="double">
        <color indexed="8"/>
      </top>
      <bottom style="double">
        <color indexed="8"/>
      </bottom>
      <diagonal/>
    </border>
    <border>
      <left/>
      <right style="double">
        <color indexed="8"/>
      </right>
      <top style="double">
        <color indexed="8"/>
      </top>
      <bottom style="double">
        <color indexed="8"/>
      </bottom>
      <diagonal/>
    </border>
    <border>
      <left/>
      <right style="thin">
        <color indexed="8"/>
      </right>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8"/>
      </right>
      <top style="thin">
        <color indexed="8"/>
      </top>
      <bottom style="thin">
        <color indexed="8"/>
      </bottom>
      <diagonal/>
    </border>
    <border>
      <left/>
      <right style="thick">
        <color indexed="8"/>
      </right>
      <top style="thick">
        <color indexed="8"/>
      </top>
      <bottom style="thick">
        <color indexed="8"/>
      </bottom>
      <diagonal/>
    </border>
    <border>
      <left style="thin">
        <color indexed="56"/>
      </left>
      <right/>
      <top style="thin">
        <color indexed="56"/>
      </top>
      <bottom/>
      <diagonal/>
    </border>
    <border>
      <left/>
      <right/>
      <top style="thin">
        <color indexed="56"/>
      </top>
      <bottom/>
      <diagonal/>
    </border>
    <border>
      <left style="thin">
        <color indexed="56"/>
      </left>
      <right/>
      <top/>
      <bottom style="thin">
        <color indexed="56"/>
      </bottom>
      <diagonal/>
    </border>
    <border>
      <left/>
      <right/>
      <top/>
      <bottom style="thin">
        <color indexed="56"/>
      </bottom>
      <diagonal/>
    </border>
    <border>
      <left/>
      <right style="thin">
        <color indexed="56"/>
      </right>
      <top/>
      <bottom style="thin">
        <color indexed="5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right/>
      <top style="thin">
        <color indexed="8"/>
      </top>
      <bottom style="thin">
        <color indexed="64"/>
      </bottom>
      <diagonal/>
    </border>
    <border>
      <left style="thin">
        <color auto="1"/>
      </left>
      <right style="thin">
        <color auto="1"/>
      </right>
      <top/>
      <bottom style="thin">
        <color auto="1"/>
      </bottom>
      <diagonal/>
    </border>
    <border>
      <left style="thin">
        <color rgb="FFBFBFBF"/>
      </left>
      <right style="thin">
        <color rgb="FFBFBFBF"/>
      </right>
      <top style="thin">
        <color rgb="FFBFBFBF"/>
      </top>
      <bottom style="thin">
        <color rgb="FFBFBFBF"/>
      </bottom>
      <diagonal/>
    </border>
    <border>
      <left/>
      <right style="thin">
        <color rgb="FFBFBFBF"/>
      </right>
      <top/>
      <bottom/>
      <diagonal/>
    </border>
    <border>
      <left style="thin">
        <color rgb="FFBFBFBF"/>
      </left>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right/>
      <top/>
      <bottom style="thin">
        <color indexed="64"/>
      </bottom>
      <diagonal/>
    </border>
    <border>
      <left style="thin">
        <color rgb="FFBFBFBF"/>
      </left>
      <right style="thin">
        <color rgb="FFBFBFBF"/>
      </right>
      <top style="thin">
        <color rgb="FFBFBFBF"/>
      </top>
      <bottom/>
      <diagonal/>
    </border>
    <border>
      <left/>
      <right/>
      <top style="thin">
        <color indexed="64"/>
      </top>
      <bottom/>
      <diagonal/>
    </border>
    <border>
      <left/>
      <right style="thin">
        <color indexed="64"/>
      </right>
      <top/>
      <bottom style="thin">
        <color indexed="64"/>
      </bottom>
      <diagonal/>
    </border>
    <border>
      <left style="thick">
        <color indexed="64"/>
      </left>
      <right/>
      <top style="thick">
        <color indexed="64"/>
      </top>
      <bottom/>
      <diagonal/>
    </border>
    <border>
      <left/>
      <right/>
      <top style="thick">
        <color indexed="64"/>
      </top>
      <bottom/>
      <diagonal/>
    </border>
    <border>
      <left style="medium">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style="medium">
        <color indexed="64"/>
      </left>
      <right/>
      <top/>
      <bottom/>
      <diagonal/>
    </border>
    <border>
      <left/>
      <right style="thick">
        <color indexed="64"/>
      </right>
      <top/>
      <bottom/>
      <diagonal/>
    </border>
    <border>
      <left style="medium">
        <color indexed="64"/>
      </left>
      <right/>
      <top/>
      <bottom style="thin">
        <color indexed="64"/>
      </bottom>
      <diagonal/>
    </border>
    <border>
      <left/>
      <right style="thick">
        <color indexed="64"/>
      </right>
      <top/>
      <bottom style="thin">
        <color indexed="64"/>
      </bottom>
      <diagonal/>
    </border>
    <border>
      <left/>
      <right/>
      <top style="thin">
        <color indexed="64"/>
      </top>
      <bottom style="medium">
        <color indexed="64"/>
      </bottom>
      <diagonal/>
    </border>
    <border>
      <left style="thick">
        <color indexed="64"/>
      </left>
      <right/>
      <top style="medium">
        <color indexed="64"/>
      </top>
      <bottom/>
      <diagonal/>
    </border>
    <border>
      <left/>
      <right style="medium">
        <color indexed="64"/>
      </right>
      <top style="medium">
        <color indexed="64"/>
      </top>
      <bottom/>
      <diagonal/>
    </border>
    <border>
      <left style="thick">
        <color indexed="64"/>
      </left>
      <right/>
      <top/>
      <bottom style="thin">
        <color indexed="64"/>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n">
        <color indexed="64"/>
      </top>
      <bottom/>
      <diagonal/>
    </border>
    <border>
      <left style="medium">
        <color indexed="64"/>
      </left>
      <right/>
      <top/>
      <bottom style="medium">
        <color indexed="64"/>
      </bottom>
      <diagonal/>
    </border>
    <border>
      <left/>
      <right style="thick">
        <color indexed="64"/>
      </right>
      <top/>
      <bottom style="medium">
        <color indexed="64"/>
      </bottom>
      <diagonal/>
    </border>
    <border>
      <left style="medium">
        <color indexed="64"/>
      </left>
      <right/>
      <top style="medium">
        <color indexed="64"/>
      </top>
      <bottom/>
      <diagonal/>
    </border>
    <border>
      <left/>
      <right style="thick">
        <color indexed="64"/>
      </right>
      <top style="medium">
        <color indexed="64"/>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style="thin">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top/>
      <bottom style="thick">
        <color indexed="64"/>
      </bottom>
      <diagonal/>
    </border>
    <border>
      <left style="double">
        <color indexed="64"/>
      </left>
      <right/>
      <top/>
      <bottom style="thick">
        <color indexed="64"/>
      </bottom>
      <diagonal/>
    </border>
    <border>
      <left/>
      <right style="double">
        <color indexed="64"/>
      </right>
      <top/>
      <bottom style="thick">
        <color indexed="64"/>
      </bottom>
      <diagonal/>
    </border>
    <border>
      <left style="medium">
        <color indexed="64"/>
      </left>
      <right/>
      <top/>
      <bottom style="thick">
        <color indexed="64"/>
      </bottom>
      <diagonal/>
    </border>
    <border>
      <left/>
      <right style="thick">
        <color indexed="64"/>
      </right>
      <top/>
      <bottom style="thick">
        <color indexed="64"/>
      </bottom>
      <diagonal/>
    </border>
    <border>
      <left/>
      <right/>
      <top/>
      <bottom style="thin">
        <color rgb="FFBFBFBF"/>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s>
  <cellStyleXfs count="49">
    <xf numFmtId="0" fontId="0" fillId="0" borderId="0"/>
    <xf numFmtId="0" fontId="8" fillId="0" borderId="0" applyNumberFormat="0" applyFill="0" applyBorder="0" applyAlignment="0" applyProtection="0"/>
    <xf numFmtId="0" fontId="9" fillId="0" borderId="6" applyNumberFormat="0" applyFill="0" applyAlignment="0" applyProtection="0"/>
    <xf numFmtId="0" fontId="10" fillId="0" borderId="7" applyNumberFormat="0" applyFill="0" applyAlignment="0" applyProtection="0"/>
    <xf numFmtId="0" fontId="11" fillId="0" borderId="8" applyNumberFormat="0" applyFill="0" applyAlignment="0" applyProtection="0"/>
    <xf numFmtId="0" fontId="11" fillId="0" borderId="0" applyNumberFormat="0" applyFill="0" applyBorder="0" applyAlignment="0" applyProtection="0"/>
    <xf numFmtId="0" fontId="12" fillId="4" borderId="0" applyNumberFormat="0" applyBorder="0" applyAlignment="0" applyProtection="0"/>
    <xf numFmtId="0" fontId="13" fillId="5" borderId="0" applyNumberFormat="0" applyBorder="0" applyAlignment="0" applyProtection="0"/>
    <xf numFmtId="0" fontId="14" fillId="6" borderId="0" applyNumberFormat="0" applyBorder="0" applyAlignment="0" applyProtection="0"/>
    <xf numFmtId="0" fontId="15" fillId="7" borderId="9" applyNumberFormat="0" applyAlignment="0" applyProtection="0"/>
    <xf numFmtId="0" fontId="16" fillId="8" borderId="10" applyNumberFormat="0" applyAlignment="0" applyProtection="0"/>
    <xf numFmtId="0" fontId="17" fillId="8" borderId="9" applyNumberFormat="0" applyAlignment="0" applyProtection="0"/>
    <xf numFmtId="0" fontId="18" fillId="0" borderId="11" applyNumberFormat="0" applyFill="0" applyAlignment="0" applyProtection="0"/>
    <xf numFmtId="0" fontId="19" fillId="9" borderId="12" applyNumberFormat="0" applyAlignment="0" applyProtection="0"/>
    <xf numFmtId="0" fontId="20" fillId="0" borderId="0" applyNumberFormat="0" applyFill="0" applyBorder="0" applyAlignment="0" applyProtection="0"/>
    <xf numFmtId="0" fontId="7" fillId="10" borderId="13" applyNumberFormat="0" applyFont="0" applyAlignment="0" applyProtection="0"/>
    <xf numFmtId="0" fontId="21" fillId="0" borderId="0" applyNumberFormat="0" applyFill="0" applyBorder="0" applyAlignment="0" applyProtection="0"/>
    <xf numFmtId="0" fontId="1" fillId="0" borderId="14" applyNumberFormat="0" applyFill="0" applyAlignment="0" applyProtection="0"/>
    <xf numFmtId="0" fontId="22" fillId="11" borderId="0" applyNumberFormat="0" applyBorder="0" applyAlignment="0" applyProtection="0"/>
    <xf numFmtId="0" fontId="7" fillId="12"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22" fillId="15"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22" fillId="19" borderId="0" applyNumberFormat="0" applyBorder="0" applyAlignment="0" applyProtection="0"/>
    <xf numFmtId="0" fontId="7" fillId="20"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22" fillId="23" borderId="0" applyNumberFormat="0" applyBorder="0" applyAlignment="0" applyProtection="0"/>
    <xf numFmtId="0" fontId="7" fillId="24"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22" fillId="27" borderId="0" applyNumberFormat="0" applyBorder="0" applyAlignment="0" applyProtection="0"/>
    <xf numFmtId="0" fontId="7" fillId="28"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22" fillId="31" borderId="0" applyNumberFormat="0" applyBorder="0" applyAlignment="0" applyProtection="0"/>
    <xf numFmtId="0" fontId="7" fillId="32"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165" fontId="28" fillId="2" borderId="0"/>
    <xf numFmtId="44" fontId="7" fillId="0" borderId="0" applyFont="0" applyFill="0" applyBorder="0" applyAlignment="0" applyProtection="0"/>
    <xf numFmtId="165" fontId="28" fillId="2" borderId="0"/>
    <xf numFmtId="0" fontId="79" fillId="0" borderId="0" applyNumberFormat="0" applyFill="0" applyBorder="0" applyAlignment="0" applyProtection="0"/>
    <xf numFmtId="0" fontId="81" fillId="0" borderId="0"/>
    <xf numFmtId="9" fontId="81" fillId="0" borderId="0" applyFont="0" applyFill="0" applyBorder="0" applyAlignment="0" applyProtection="0"/>
    <xf numFmtId="0" fontId="144" fillId="0" borderId="0"/>
  </cellStyleXfs>
  <cellXfs count="1089">
    <xf numFmtId="0" fontId="0" fillId="0" borderId="0" xfId="0"/>
    <xf numFmtId="0" fontId="0" fillId="0" borderId="0" xfId="0" applyAlignment="1">
      <alignment horizontal="center"/>
    </xf>
    <xf numFmtId="0" fontId="0" fillId="0" borderId="0" xfId="0" applyAlignment="1">
      <alignment vertical="center"/>
    </xf>
    <xf numFmtId="0" fontId="1" fillId="3" borderId="0" xfId="0" applyFont="1" applyFill="1" applyAlignment="1">
      <alignment horizontal="center"/>
    </xf>
    <xf numFmtId="0" fontId="1" fillId="36" borderId="0" xfId="0" applyFont="1" applyFill="1"/>
    <xf numFmtId="0" fontId="1" fillId="3" borderId="0" xfId="0" applyFont="1" applyFill="1" applyAlignment="1">
      <alignment horizontal="left"/>
    </xf>
    <xf numFmtId="9" fontId="0" fillId="0" borderId="0" xfId="0" applyNumberFormat="1"/>
    <xf numFmtId="0" fontId="1" fillId="0" borderId="0" xfId="0" applyFont="1" applyAlignment="1">
      <alignment horizontal="center" vertical="center"/>
    </xf>
    <xf numFmtId="0" fontId="0" fillId="0" borderId="15" xfId="0" applyBorder="1" applyAlignment="1">
      <alignment horizontal="center"/>
    </xf>
    <xf numFmtId="0" fontId="1" fillId="0" borderId="0" xfId="0" applyFont="1" applyAlignment="1">
      <alignment horizontal="center"/>
    </xf>
    <xf numFmtId="10" fontId="0" fillId="0" borderId="0" xfId="0" applyNumberFormat="1" applyAlignment="1">
      <alignment horizontal="center"/>
    </xf>
    <xf numFmtId="9" fontId="0" fillId="0" borderId="0" xfId="0" applyNumberFormat="1" applyAlignment="1">
      <alignment horizontal="center"/>
    </xf>
    <xf numFmtId="0" fontId="0" fillId="0" borderId="0" xfId="0" applyAlignment="1">
      <alignment horizontal="center" vertical="center"/>
    </xf>
    <xf numFmtId="0" fontId="1" fillId="0" borderId="0" xfId="0" applyFont="1"/>
    <xf numFmtId="14" fontId="0" fillId="0" borderId="0" xfId="0" applyNumberFormat="1" applyAlignment="1">
      <alignment horizontal="center"/>
    </xf>
    <xf numFmtId="164" fontId="0" fillId="0" borderId="0" xfId="0" applyNumberFormat="1" applyAlignment="1">
      <alignment horizontal="center"/>
    </xf>
    <xf numFmtId="0" fontId="0" fillId="0" borderId="0" xfId="0" applyAlignment="1">
      <alignment horizontal="left"/>
    </xf>
    <xf numFmtId="1" fontId="0" fillId="0" borderId="0" xfId="0" applyNumberFormat="1" applyAlignment="1">
      <alignment horizontal="center"/>
    </xf>
    <xf numFmtId="164" fontId="0" fillId="0" borderId="0" xfId="0" applyNumberFormat="1" applyAlignment="1">
      <alignment horizontal="center" vertical="center"/>
    </xf>
    <xf numFmtId="5" fontId="0" fillId="0" borderId="0" xfId="0" applyNumberFormat="1" applyAlignment="1">
      <alignment horizontal="center"/>
    </xf>
    <xf numFmtId="0" fontId="1" fillId="0" borderId="0" xfId="0" applyFont="1" applyAlignment="1">
      <alignment horizontal="left"/>
    </xf>
    <xf numFmtId="0" fontId="0" fillId="0" borderId="0" xfId="0" applyProtection="1">
      <protection locked="0"/>
    </xf>
    <xf numFmtId="0" fontId="0" fillId="0" borderId="0" xfId="0" applyAlignment="1" applyProtection="1">
      <alignment horizontal="center" vertical="center"/>
      <protection locked="0"/>
    </xf>
    <xf numFmtId="0" fontId="0" fillId="0" borderId="0" xfId="0" applyAlignment="1" applyProtection="1">
      <alignment horizontal="center"/>
      <protection locked="0"/>
    </xf>
    <xf numFmtId="0" fontId="38" fillId="0" borderId="0" xfId="0" applyFont="1"/>
    <xf numFmtId="0" fontId="38" fillId="0" borderId="0" xfId="0" applyFont="1" applyAlignment="1">
      <alignment horizontal="left" vertical="center" indent="1"/>
    </xf>
    <xf numFmtId="0" fontId="39" fillId="0" borderId="0" xfId="0" applyFont="1"/>
    <xf numFmtId="0" fontId="30" fillId="0" borderId="0" xfId="0" applyFont="1"/>
    <xf numFmtId="0" fontId="40" fillId="0" borderId="2" xfId="0" applyFont="1" applyBorder="1"/>
    <xf numFmtId="0" fontId="41" fillId="0" borderId="2" xfId="0" applyFont="1" applyBorder="1"/>
    <xf numFmtId="0" fontId="41" fillId="0" borderId="0" xfId="0" applyFont="1"/>
    <xf numFmtId="0" fontId="42" fillId="0" borderId="0" xfId="0" applyFont="1"/>
    <xf numFmtId="0" fontId="4" fillId="0" borderId="5" xfId="0" applyFont="1" applyBorder="1"/>
    <xf numFmtId="0" fontId="42" fillId="0" borderId="5" xfId="0" applyFont="1" applyBorder="1"/>
    <xf numFmtId="0" fontId="4" fillId="0" borderId="0" xfId="0" applyFont="1"/>
    <xf numFmtId="0" fontId="42" fillId="0" borderId="5" xfId="0" applyFont="1" applyBorder="1" applyAlignment="1">
      <alignment horizontal="left"/>
    </xf>
    <xf numFmtId="2" fontId="42" fillId="0" borderId="5" xfId="0" applyNumberFormat="1" applyFont="1" applyBorder="1" applyAlignment="1">
      <alignment horizontal="left"/>
    </xf>
    <xf numFmtId="0" fontId="4" fillId="0" borderId="3" xfId="0" applyFont="1" applyBorder="1"/>
    <xf numFmtId="0" fontId="42" fillId="0" borderId="3" xfId="0" applyFont="1" applyBorder="1"/>
    <xf numFmtId="0" fontId="42" fillId="0" borderId="3" xfId="0" applyFont="1" applyBorder="1" applyAlignment="1">
      <alignment horizontal="center"/>
    </xf>
    <xf numFmtId="0" fontId="43" fillId="0" borderId="3" xfId="0" applyFont="1" applyBorder="1"/>
    <xf numFmtId="0" fontId="4" fillId="0" borderId="3" xfId="0" applyFont="1" applyBorder="1" applyAlignment="1">
      <alignment horizontal="center"/>
    </xf>
    <xf numFmtId="164" fontId="42" fillId="0" borderId="5" xfId="43" applyNumberFormat="1" applyFont="1" applyBorder="1" applyAlignment="1" applyProtection="1">
      <alignment horizontal="left"/>
    </xf>
    <xf numFmtId="0" fontId="42" fillId="0" borderId="5" xfId="0" applyFont="1" applyBorder="1" applyAlignment="1">
      <alignment horizontal="center"/>
    </xf>
    <xf numFmtId="0" fontId="42" fillId="0" borderId="0" xfId="0" applyFont="1" applyAlignment="1">
      <alignment horizontal="center"/>
    </xf>
    <xf numFmtId="14" fontId="42" fillId="0" borderId="5" xfId="0" applyNumberFormat="1" applyFont="1" applyBorder="1" applyAlignment="1">
      <alignment horizontal="center"/>
    </xf>
    <xf numFmtId="0" fontId="46" fillId="0" borderId="0" xfId="0" applyFont="1" applyAlignment="1">
      <alignment vertical="top" wrapText="1"/>
    </xf>
    <xf numFmtId="0" fontId="49" fillId="0" borderId="0" xfId="0" applyFont="1"/>
    <xf numFmtId="0" fontId="51" fillId="0" borderId="0" xfId="0" applyFont="1"/>
    <xf numFmtId="0" fontId="52" fillId="0" borderId="0" xfId="0" applyFont="1" applyAlignment="1">
      <alignment vertical="top" wrapText="1"/>
    </xf>
    <xf numFmtId="0" fontId="52" fillId="0" borderId="0" xfId="0" applyFont="1"/>
    <xf numFmtId="0" fontId="54" fillId="0" borderId="0" xfId="0" applyFont="1"/>
    <xf numFmtId="0" fontId="6" fillId="0" borderId="0" xfId="0" applyFont="1"/>
    <xf numFmtId="0" fontId="57" fillId="0" borderId="0" xfId="0" applyFont="1" applyAlignment="1">
      <alignment vertical="top"/>
    </xf>
    <xf numFmtId="0" fontId="33" fillId="0" borderId="0" xfId="0" applyFont="1" applyAlignment="1">
      <alignment vertical="top" wrapText="1"/>
    </xf>
    <xf numFmtId="0" fontId="38" fillId="0" borderId="0" xfId="0" applyFont="1" applyAlignment="1">
      <alignment horizontal="left" vertical="top" wrapText="1"/>
    </xf>
    <xf numFmtId="0" fontId="38" fillId="0" borderId="0" xfId="0" applyFont="1" applyAlignment="1">
      <alignment vertical="center"/>
    </xf>
    <xf numFmtId="0" fontId="57" fillId="0" borderId="0" xfId="0" applyFont="1" applyAlignment="1">
      <alignment vertical="center"/>
    </xf>
    <xf numFmtId="165" fontId="28" fillId="2" borderId="0" xfId="42"/>
    <xf numFmtId="165" fontId="28" fillId="2" borderId="0" xfId="42" applyAlignment="1">
      <alignment horizontal="center"/>
    </xf>
    <xf numFmtId="165" fontId="58" fillId="2" borderId="0" xfId="42" applyFont="1"/>
    <xf numFmtId="4" fontId="58" fillId="2" borderId="0" xfId="42" applyNumberFormat="1" applyFont="1" applyAlignment="1">
      <alignment horizontal="center"/>
    </xf>
    <xf numFmtId="165" fontId="58" fillId="2" borderId="0" xfId="42" applyFont="1" applyAlignment="1">
      <alignment horizontal="center"/>
    </xf>
    <xf numFmtId="165" fontId="32" fillId="2" borderId="0" xfId="42" applyFont="1"/>
    <xf numFmtId="0" fontId="60" fillId="35" borderId="0" xfId="42" applyNumberFormat="1" applyFont="1" applyFill="1" applyAlignment="1">
      <alignment horizontal="left"/>
    </xf>
    <xf numFmtId="165" fontId="61" fillId="35" borderId="0" xfId="42" applyFont="1" applyFill="1" applyAlignment="1">
      <alignment horizontal="left"/>
    </xf>
    <xf numFmtId="165" fontId="31" fillId="2" borderId="0" xfId="42" applyFont="1"/>
    <xf numFmtId="7" fontId="45" fillId="2" borderId="0" xfId="42" applyNumberFormat="1" applyFont="1"/>
    <xf numFmtId="7" fontId="63" fillId="2" borderId="0" xfId="42" applyNumberFormat="1" applyFont="1" applyProtection="1">
      <protection locked="0"/>
    </xf>
    <xf numFmtId="0" fontId="65" fillId="35" borderId="0" xfId="42" applyNumberFormat="1" applyFont="1" applyFill="1" applyAlignment="1">
      <alignment horizontal="left"/>
    </xf>
    <xf numFmtId="165" fontId="34" fillId="35" borderId="0" xfId="42" applyFont="1" applyFill="1" applyAlignment="1">
      <alignment horizontal="left"/>
    </xf>
    <xf numFmtId="7" fontId="62" fillId="2" borderId="21" xfId="42" applyNumberFormat="1" applyFont="1" applyBorder="1" applyProtection="1">
      <protection locked="0"/>
    </xf>
    <xf numFmtId="165" fontId="64" fillId="2" borderId="23" xfId="42" applyFont="1" applyBorder="1" applyAlignment="1" applyProtection="1">
      <alignment horizontal="center"/>
      <protection locked="0"/>
    </xf>
    <xf numFmtId="165" fontId="31" fillId="2" borderId="0" xfId="42" applyFont="1" applyAlignment="1">
      <alignment horizontal="center"/>
    </xf>
    <xf numFmtId="8" fontId="68" fillId="2" borderId="0" xfId="42" applyNumberFormat="1" applyFont="1"/>
    <xf numFmtId="165" fontId="64" fillId="2" borderId="0" xfId="42" applyFont="1" applyAlignment="1">
      <alignment horizontal="left"/>
    </xf>
    <xf numFmtId="165" fontId="31" fillId="2" borderId="24" xfId="42" applyFont="1" applyBorder="1" applyAlignment="1">
      <alignment horizontal="center" vertical="center"/>
    </xf>
    <xf numFmtId="165" fontId="31" fillId="2" borderId="0" xfId="42" applyFont="1" applyAlignment="1">
      <alignment horizontal="center" vertical="center"/>
    </xf>
    <xf numFmtId="165" fontId="31" fillId="2" borderId="0" xfId="42" applyFont="1" applyAlignment="1">
      <alignment vertical="center"/>
    </xf>
    <xf numFmtId="165" fontId="64" fillId="2" borderId="0" xfId="42" applyFont="1" applyAlignment="1">
      <alignment horizontal="left" vertical="center"/>
    </xf>
    <xf numFmtId="165" fontId="69" fillId="2" borderId="0" xfId="42" applyFont="1"/>
    <xf numFmtId="0" fontId="69" fillId="35" borderId="0" xfId="42" applyNumberFormat="1" applyFont="1" applyFill="1" applyAlignment="1">
      <alignment horizontal="left"/>
    </xf>
    <xf numFmtId="165" fontId="2" fillId="35" borderId="0" xfId="42" applyFont="1" applyFill="1" applyAlignment="1">
      <alignment horizontal="left"/>
    </xf>
    <xf numFmtId="39" fontId="36" fillId="2" borderId="25" xfId="42" applyNumberFormat="1" applyFont="1" applyBorder="1" applyAlignment="1">
      <alignment horizontal="center" vertical="center"/>
    </xf>
    <xf numFmtId="39" fontId="42" fillId="2" borderId="25" xfId="42" applyNumberFormat="1" applyFont="1" applyBorder="1" applyAlignment="1">
      <alignment horizontal="center" vertical="center"/>
    </xf>
    <xf numFmtId="165" fontId="36" fillId="2" borderId="26" xfId="42" applyFont="1" applyBorder="1" applyAlignment="1">
      <alignment vertical="center"/>
    </xf>
    <xf numFmtId="165" fontId="42" fillId="2" borderId="0" xfId="42" applyFont="1"/>
    <xf numFmtId="37" fontId="42" fillId="38" borderId="27" xfId="42" applyNumberFormat="1" applyFont="1" applyFill="1" applyBorder="1" applyAlignment="1">
      <alignment horizontal="center" vertical="center"/>
    </xf>
    <xf numFmtId="9" fontId="42" fillId="0" borderId="4" xfId="42" applyNumberFormat="1" applyFont="1" applyFill="1" applyBorder="1" applyAlignment="1" applyProtection="1">
      <alignment horizontal="center" vertical="center"/>
      <protection locked="0"/>
    </xf>
    <xf numFmtId="165" fontId="42" fillId="0" borderId="19" xfId="42" applyFont="1" applyFill="1" applyBorder="1" applyAlignment="1" applyProtection="1">
      <alignment vertical="center"/>
      <protection locked="0"/>
    </xf>
    <xf numFmtId="0" fontId="69" fillId="2" borderId="0" xfId="42" applyNumberFormat="1" applyFont="1"/>
    <xf numFmtId="165" fontId="70" fillId="0" borderId="19" xfId="42" applyFont="1" applyFill="1" applyBorder="1" applyAlignment="1" applyProtection="1">
      <alignment vertical="center"/>
      <protection locked="0"/>
    </xf>
    <xf numFmtId="165" fontId="42" fillId="0" borderId="19" xfId="42" applyFont="1" applyFill="1" applyBorder="1" applyAlignment="1">
      <alignment vertical="center"/>
    </xf>
    <xf numFmtId="37" fontId="69" fillId="2" borderId="0" xfId="42" applyNumberFormat="1" applyFont="1"/>
    <xf numFmtId="165" fontId="71" fillId="2" borderId="0" xfId="42" applyFont="1"/>
    <xf numFmtId="37" fontId="71" fillId="2" borderId="0" xfId="42" applyNumberFormat="1" applyFont="1"/>
    <xf numFmtId="0" fontId="71" fillId="35" borderId="0" xfId="42" applyNumberFormat="1" applyFont="1" applyFill="1" applyAlignment="1">
      <alignment horizontal="left"/>
    </xf>
    <xf numFmtId="165" fontId="72" fillId="35" borderId="0" xfId="42" applyFont="1" applyFill="1" applyAlignment="1">
      <alignment horizontal="left"/>
    </xf>
    <xf numFmtId="0" fontId="71" fillId="2" borderId="0" xfId="42" applyNumberFormat="1" applyFont="1"/>
    <xf numFmtId="165" fontId="73" fillId="0" borderId="29" xfId="42" applyFont="1" applyFill="1" applyBorder="1" applyAlignment="1">
      <alignment vertical="center"/>
    </xf>
    <xf numFmtId="0" fontId="73" fillId="0" borderId="0" xfId="42" applyNumberFormat="1" applyFont="1" applyFill="1" applyAlignment="1">
      <alignment vertical="center"/>
    </xf>
    <xf numFmtId="0" fontId="42" fillId="35" borderId="0" xfId="42" applyNumberFormat="1" applyFont="1" applyFill="1" applyAlignment="1">
      <alignment horizontal="left"/>
    </xf>
    <xf numFmtId="165" fontId="76" fillId="35" borderId="0" xfId="42" applyFont="1" applyFill="1" applyAlignment="1" applyProtection="1">
      <alignment horizontal="left"/>
      <protection locked="0"/>
    </xf>
    <xf numFmtId="165" fontId="77" fillId="2" borderId="0" xfId="42" applyFont="1"/>
    <xf numFmtId="165" fontId="78" fillId="2" borderId="0" xfId="42" applyFont="1"/>
    <xf numFmtId="0" fontId="80" fillId="0" borderId="0" xfId="0" applyFont="1" applyAlignment="1">
      <alignment vertical="center"/>
    </xf>
    <xf numFmtId="0" fontId="4" fillId="0" borderId="0" xfId="0" applyFont="1" applyProtection="1">
      <protection locked="0"/>
    </xf>
    <xf numFmtId="170" fontId="0" fillId="0" borderId="0" xfId="0" applyNumberFormat="1" applyAlignment="1">
      <alignment horizontal="center"/>
    </xf>
    <xf numFmtId="165" fontId="32" fillId="2" borderId="0" xfId="44" applyFont="1" applyAlignment="1">
      <alignment vertical="center"/>
    </xf>
    <xf numFmtId="165" fontId="32" fillId="2" borderId="0" xfId="42" applyFont="1" applyAlignment="1">
      <alignment vertical="center"/>
    </xf>
    <xf numFmtId="165" fontId="32" fillId="2" borderId="0" xfId="44" applyFont="1"/>
    <xf numFmtId="165" fontId="41" fillId="2" borderId="0" xfId="42" applyFont="1"/>
    <xf numFmtId="165" fontId="91" fillId="2" borderId="0" xfId="44" applyFont="1" applyAlignment="1">
      <alignment vertical="center"/>
    </xf>
    <xf numFmtId="165" fontId="92" fillId="2" borderId="0" xfId="44" applyFont="1"/>
    <xf numFmtId="165" fontId="92" fillId="2" borderId="0" xfId="44" applyFont="1" applyAlignment="1">
      <alignment vertical="center"/>
    </xf>
    <xf numFmtId="165" fontId="92" fillId="2" borderId="0" xfId="44" applyFont="1" applyAlignment="1">
      <alignment horizontal="center" vertical="center"/>
    </xf>
    <xf numFmtId="164" fontId="92" fillId="2" borderId="0" xfId="44" applyNumberFormat="1" applyFont="1" applyAlignment="1">
      <alignment vertical="center"/>
    </xf>
    <xf numFmtId="0" fontId="41" fillId="2" borderId="0" xfId="42" applyNumberFormat="1" applyFont="1"/>
    <xf numFmtId="37" fontId="32" fillId="2" borderId="0" xfId="44" applyNumberFormat="1" applyFont="1" applyAlignment="1">
      <alignment vertical="center"/>
    </xf>
    <xf numFmtId="1" fontId="32" fillId="2" borderId="0" xfId="44" applyNumberFormat="1" applyFont="1" applyAlignment="1" applyProtection="1">
      <alignment horizontal="center" vertical="center"/>
      <protection locked="0"/>
    </xf>
    <xf numFmtId="0" fontId="39" fillId="2" borderId="0" xfId="42" applyNumberFormat="1" applyFont="1"/>
    <xf numFmtId="165" fontId="38" fillId="2" borderId="0" xfId="44" applyFont="1" applyAlignment="1">
      <alignment vertical="center"/>
    </xf>
    <xf numFmtId="0" fontId="92" fillId="2" borderId="0" xfId="44" applyNumberFormat="1" applyFont="1" applyAlignment="1">
      <alignment vertical="center"/>
    </xf>
    <xf numFmtId="0" fontId="39" fillId="2" borderId="0" xfId="42" applyNumberFormat="1" applyFont="1" applyAlignment="1">
      <alignment horizontal="left" vertical="center"/>
    </xf>
    <xf numFmtId="165" fontId="50" fillId="35" borderId="0" xfId="42" applyFont="1" applyFill="1" applyAlignment="1" applyProtection="1">
      <alignment horizontal="left"/>
      <protection locked="0"/>
    </xf>
    <xf numFmtId="0" fontId="32" fillId="2" borderId="0" xfId="44" applyNumberFormat="1" applyFont="1" applyAlignment="1">
      <alignment vertical="center"/>
    </xf>
    <xf numFmtId="165" fontId="40" fillId="35" borderId="0" xfId="42" applyFont="1" applyFill="1" applyAlignment="1" applyProtection="1">
      <alignment horizontal="left"/>
      <protection locked="0"/>
    </xf>
    <xf numFmtId="165" fontId="32" fillId="2" borderId="0" xfId="44" applyFont="1" applyAlignment="1">
      <alignment horizontal="center" vertical="center"/>
    </xf>
    <xf numFmtId="5" fontId="32" fillId="2" borderId="0" xfId="44" applyNumberFormat="1" applyFont="1" applyAlignment="1">
      <alignment horizontal="center" vertical="center"/>
    </xf>
    <xf numFmtId="0" fontId="32" fillId="2" borderId="0" xfId="44" applyNumberFormat="1" applyFont="1" applyAlignment="1">
      <alignment horizontal="center" vertical="center"/>
    </xf>
    <xf numFmtId="0" fontId="39" fillId="2" borderId="0" xfId="42" applyNumberFormat="1" applyFont="1" applyAlignment="1">
      <alignment horizontal="center" vertical="center"/>
    </xf>
    <xf numFmtId="165" fontId="32" fillId="2" borderId="0" xfId="44" applyFont="1" applyAlignment="1">
      <alignment horizontal="center"/>
    </xf>
    <xf numFmtId="0" fontId="32" fillId="2" borderId="0" xfId="44" applyNumberFormat="1" applyFont="1"/>
    <xf numFmtId="0" fontId="39" fillId="2" borderId="0" xfId="42" applyNumberFormat="1" applyFont="1" applyAlignment="1">
      <alignment horizontal="left"/>
    </xf>
    <xf numFmtId="165" fontId="94" fillId="35" borderId="0" xfId="42" applyFont="1" applyFill="1" applyAlignment="1" applyProtection="1">
      <alignment horizontal="left"/>
      <protection locked="0"/>
    </xf>
    <xf numFmtId="165" fontId="38" fillId="2" borderId="0" xfId="44" applyFont="1"/>
    <xf numFmtId="165" fontId="95" fillId="2" borderId="0" xfId="42" applyFont="1"/>
    <xf numFmtId="165" fontId="95" fillId="2" borderId="0" xfId="42" applyFont="1" applyAlignment="1">
      <alignment horizontal="center"/>
    </xf>
    <xf numFmtId="4" fontId="32" fillId="2" borderId="0" xfId="42" applyNumberFormat="1" applyFont="1" applyAlignment="1">
      <alignment horizontal="center"/>
    </xf>
    <xf numFmtId="0" fontId="38" fillId="0" borderId="0" xfId="0" applyFont="1" applyProtection="1">
      <protection locked="0"/>
    </xf>
    <xf numFmtId="165" fontId="92" fillId="0" borderId="0" xfId="44" applyFont="1" applyFill="1" applyAlignment="1">
      <alignment vertical="center"/>
    </xf>
    <xf numFmtId="164" fontId="92" fillId="0" borderId="0" xfId="44" applyNumberFormat="1" applyFont="1" applyFill="1" applyAlignment="1">
      <alignment vertical="center"/>
    </xf>
    <xf numFmtId="165" fontId="38" fillId="0" borderId="0" xfId="42" applyFont="1" applyFill="1" applyAlignment="1" applyProtection="1">
      <alignment horizontal="center" vertical="center"/>
      <protection locked="0"/>
    </xf>
    <xf numFmtId="0" fontId="41" fillId="0" borderId="0" xfId="42" applyNumberFormat="1" applyFont="1" applyFill="1" applyAlignment="1">
      <alignment horizontal="center" vertical="center"/>
    </xf>
    <xf numFmtId="0" fontId="92" fillId="0" borderId="0" xfId="42" applyNumberFormat="1" applyFont="1" applyFill="1" applyAlignment="1">
      <alignment horizontal="center" vertical="center"/>
    </xf>
    <xf numFmtId="3" fontId="92" fillId="0" borderId="0" xfId="44" applyNumberFormat="1" applyFont="1" applyFill="1" applyAlignment="1">
      <alignment vertical="center"/>
    </xf>
    <xf numFmtId="1" fontId="32" fillId="0" borderId="0" xfId="44" applyNumberFormat="1" applyFont="1" applyFill="1" applyAlignment="1" applyProtection="1">
      <alignment horizontal="center" vertical="center"/>
      <protection locked="0"/>
    </xf>
    <xf numFmtId="165" fontId="32" fillId="0" borderId="0" xfId="44" applyFont="1" applyFill="1" applyAlignment="1">
      <alignment vertical="center"/>
    </xf>
    <xf numFmtId="165" fontId="38" fillId="0" borderId="0" xfId="44" applyFont="1" applyFill="1" applyAlignment="1">
      <alignment vertical="center"/>
    </xf>
    <xf numFmtId="0" fontId="92" fillId="0" borderId="0" xfId="44" applyNumberFormat="1" applyFont="1" applyFill="1" applyAlignment="1">
      <alignment vertical="center"/>
    </xf>
    <xf numFmtId="0" fontId="92" fillId="0" borderId="0" xfId="42" applyNumberFormat="1" applyFont="1" applyFill="1" applyAlignment="1">
      <alignment horizontal="left" vertical="center"/>
    </xf>
    <xf numFmtId="165" fontId="97" fillId="2" borderId="0" xfId="44" applyFont="1"/>
    <xf numFmtId="165" fontId="97" fillId="2" borderId="0" xfId="44" applyFont="1" applyAlignment="1">
      <alignment vertical="center"/>
    </xf>
    <xf numFmtId="165" fontId="97" fillId="2" borderId="0" xfId="44" applyFont="1" applyAlignment="1">
      <alignment horizontal="center" vertical="center"/>
    </xf>
    <xf numFmtId="4" fontId="115" fillId="0" borderId="0" xfId="42" applyNumberFormat="1" applyFont="1" applyFill="1" applyAlignment="1">
      <alignment horizontal="center"/>
    </xf>
    <xf numFmtId="9" fontId="99" fillId="39" borderId="55" xfId="44" applyNumberFormat="1" applyFont="1" applyFill="1" applyBorder="1" applyAlignment="1" applyProtection="1">
      <alignment horizontal="center" vertical="center"/>
      <protection locked="0"/>
    </xf>
    <xf numFmtId="9" fontId="99" fillId="2" borderId="55" xfId="44" applyNumberFormat="1" applyFont="1" applyBorder="1" applyAlignment="1" applyProtection="1">
      <alignment horizontal="center" vertical="center"/>
      <protection locked="0"/>
    </xf>
    <xf numFmtId="9" fontId="103" fillId="2" borderId="55" xfId="44" applyNumberFormat="1" applyFont="1" applyBorder="1" applyAlignment="1" applyProtection="1">
      <alignment horizontal="center" vertical="center"/>
      <protection locked="0"/>
    </xf>
    <xf numFmtId="165" fontId="42" fillId="39" borderId="19" xfId="42" applyFont="1" applyFill="1" applyBorder="1" applyAlignment="1">
      <alignment vertical="center"/>
    </xf>
    <xf numFmtId="165" fontId="70" fillId="39" borderId="19" xfId="42" applyFont="1" applyFill="1" applyBorder="1" applyAlignment="1" applyProtection="1">
      <alignment vertical="center"/>
      <protection locked="0"/>
    </xf>
    <xf numFmtId="9" fontId="42" fillId="39" borderId="4" xfId="42" applyNumberFormat="1" applyFont="1" applyFill="1" applyBorder="1" applyAlignment="1" applyProtection="1">
      <alignment horizontal="center" vertical="center"/>
      <protection locked="0"/>
    </xf>
    <xf numFmtId="40" fontId="42" fillId="39" borderId="19" xfId="42" applyNumberFormat="1" applyFont="1" applyFill="1" applyBorder="1" applyAlignment="1">
      <alignment vertical="center"/>
    </xf>
    <xf numFmtId="9" fontId="42" fillId="39" borderId="27" xfId="42" applyNumberFormat="1" applyFont="1" applyFill="1" applyBorder="1" applyAlignment="1">
      <alignment horizontal="center" vertical="center"/>
    </xf>
    <xf numFmtId="165" fontId="64" fillId="39" borderId="28" xfId="42" applyFont="1" applyFill="1" applyBorder="1" applyAlignment="1">
      <alignment vertical="center"/>
    </xf>
    <xf numFmtId="39" fontId="42" fillId="38" borderId="4" xfId="42" applyNumberFormat="1" applyFont="1" applyFill="1" applyBorder="1" applyAlignment="1">
      <alignment horizontal="center" vertical="center"/>
    </xf>
    <xf numFmtId="37" fontId="42" fillId="38" borderId="4" xfId="42" applyNumberFormat="1" applyFont="1" applyFill="1" applyBorder="1" applyAlignment="1">
      <alignment horizontal="center" vertical="center"/>
    </xf>
    <xf numFmtId="40" fontId="42" fillId="38" borderId="4" xfId="42" applyNumberFormat="1" applyFont="1" applyFill="1" applyBorder="1" applyAlignment="1">
      <alignment horizontal="center" vertical="center"/>
    </xf>
    <xf numFmtId="165" fontId="42" fillId="38" borderId="4" xfId="42" applyFont="1" applyFill="1" applyBorder="1" applyAlignment="1">
      <alignment horizontal="center" vertical="center"/>
    </xf>
    <xf numFmtId="165" fontId="99" fillId="39" borderId="55" xfId="44" applyFont="1" applyFill="1" applyBorder="1" applyAlignment="1">
      <alignment vertical="center"/>
    </xf>
    <xf numFmtId="165" fontId="99" fillId="2" borderId="55" xfId="44" applyFont="1" applyBorder="1" applyAlignment="1">
      <alignment vertical="center"/>
    </xf>
    <xf numFmtId="165" fontId="103" fillId="2" borderId="55" xfId="44" applyFont="1" applyBorder="1" applyAlignment="1">
      <alignment vertical="center"/>
    </xf>
    <xf numFmtId="9" fontId="99" fillId="39" borderId="20" xfId="44" applyNumberFormat="1" applyFont="1" applyFill="1" applyBorder="1" applyAlignment="1" applyProtection="1">
      <alignment horizontal="center" vertical="center"/>
      <protection locked="0"/>
    </xf>
    <xf numFmtId="37" fontId="97" fillId="38" borderId="55" xfId="44" applyNumberFormat="1" applyFont="1" applyFill="1" applyBorder="1" applyAlignment="1">
      <alignment horizontal="center" vertical="center"/>
    </xf>
    <xf numFmtId="40" fontId="97" fillId="38" borderId="55" xfId="44" applyNumberFormat="1" applyFont="1" applyFill="1" applyBorder="1" applyAlignment="1">
      <alignment horizontal="center" vertical="center"/>
    </xf>
    <xf numFmtId="165" fontId="97" fillId="38" borderId="55" xfId="44" applyFont="1" applyFill="1" applyBorder="1" applyAlignment="1">
      <alignment horizontal="center" vertical="center"/>
    </xf>
    <xf numFmtId="39" fontId="97" fillId="38" borderId="20" xfId="44" applyNumberFormat="1" applyFont="1" applyFill="1" applyBorder="1" applyAlignment="1">
      <alignment horizontal="center" vertical="center"/>
    </xf>
    <xf numFmtId="165" fontId="109" fillId="39" borderId="55" xfId="44" applyFont="1" applyFill="1" applyBorder="1" applyAlignment="1" applyProtection="1">
      <alignment vertical="center"/>
      <protection locked="0"/>
    </xf>
    <xf numFmtId="165" fontId="109" fillId="2" borderId="55" xfId="44" applyFont="1" applyBorder="1" applyAlignment="1" applyProtection="1">
      <alignment vertical="center"/>
      <protection locked="0"/>
    </xf>
    <xf numFmtId="40" fontId="99" fillId="2" borderId="55" xfId="44" applyNumberFormat="1" applyFont="1" applyBorder="1" applyAlignment="1">
      <alignment vertical="center"/>
    </xf>
    <xf numFmtId="40" fontId="103" fillId="39" borderId="55" xfId="44" applyNumberFormat="1" applyFont="1" applyFill="1" applyBorder="1" applyAlignment="1">
      <alignment vertical="center"/>
    </xf>
    <xf numFmtId="165" fontId="99" fillId="39" borderId="55" xfId="44" applyFont="1" applyFill="1" applyBorder="1" applyAlignment="1" applyProtection="1">
      <alignment vertical="center"/>
      <protection locked="0"/>
    </xf>
    <xf numFmtId="165" fontId="99" fillId="39" borderId="20" xfId="44" applyFont="1" applyFill="1" applyBorder="1" applyAlignment="1">
      <alignment vertical="center"/>
    </xf>
    <xf numFmtId="165" fontId="32" fillId="2" borderId="0" xfId="44" applyFont="1" applyAlignment="1">
      <alignment vertical="center" wrapText="1"/>
    </xf>
    <xf numFmtId="0" fontId="41" fillId="2" borderId="0" xfId="42" applyNumberFormat="1" applyFont="1" applyAlignment="1">
      <alignment wrapText="1"/>
    </xf>
    <xf numFmtId="165" fontId="92" fillId="0" borderId="0" xfId="44" applyFont="1" applyFill="1" applyAlignment="1">
      <alignment vertical="center" wrapText="1"/>
    </xf>
    <xf numFmtId="165" fontId="93" fillId="0" borderId="0" xfId="44" applyFont="1" applyFill="1" applyAlignment="1">
      <alignment vertical="center" wrapText="1"/>
    </xf>
    <xf numFmtId="165" fontId="92" fillId="0" borderId="0" xfId="44" applyFont="1" applyFill="1" applyAlignment="1">
      <alignment horizontal="center" vertical="center" wrapText="1"/>
    </xf>
    <xf numFmtId="164" fontId="92" fillId="0" borderId="0" xfId="44" applyNumberFormat="1" applyFont="1" applyFill="1" applyAlignment="1">
      <alignment vertical="center" wrapText="1"/>
    </xf>
    <xf numFmtId="165" fontId="92" fillId="2" borderId="0" xfId="44" applyFont="1" applyAlignment="1">
      <alignment vertical="center" wrapText="1"/>
    </xf>
    <xf numFmtId="3" fontId="0" fillId="0" borderId="0" xfId="0" applyNumberFormat="1"/>
    <xf numFmtId="0" fontId="118" fillId="0" borderId="0" xfId="46" applyFont="1"/>
    <xf numFmtId="0" fontId="119" fillId="0" borderId="0" xfId="46" applyFont="1" applyAlignment="1">
      <alignment horizontal="left" indent="1"/>
    </xf>
    <xf numFmtId="9" fontId="119" fillId="0" borderId="0" xfId="47" applyFont="1" applyFill="1" applyBorder="1" applyAlignment="1">
      <alignment horizontal="center"/>
    </xf>
    <xf numFmtId="38" fontId="119" fillId="0" borderId="0" xfId="46" applyNumberFormat="1" applyFont="1"/>
    <xf numFmtId="0" fontId="119" fillId="0" borderId="0" xfId="46" applyFont="1"/>
    <xf numFmtId="0" fontId="120" fillId="0" borderId="0" xfId="46" applyFont="1"/>
    <xf numFmtId="9" fontId="120" fillId="0" borderId="0" xfId="46" applyNumberFormat="1" applyFont="1" applyAlignment="1">
      <alignment horizontal="center"/>
    </xf>
    <xf numFmtId="3" fontId="120" fillId="0" borderId="0" xfId="46" applyNumberFormat="1" applyFont="1"/>
    <xf numFmtId="0" fontId="119" fillId="0" borderId="0" xfId="46" applyFont="1" applyAlignment="1">
      <alignment horizontal="left" vertical="center" wrapText="1"/>
    </xf>
    <xf numFmtId="0" fontId="119" fillId="0" borderId="0" xfId="46" applyFont="1" applyAlignment="1">
      <alignment horizontal="center"/>
    </xf>
    <xf numFmtId="0" fontId="119" fillId="0" borderId="0" xfId="46" applyFont="1" applyAlignment="1">
      <alignment horizontal="left"/>
    </xf>
    <xf numFmtId="0" fontId="119" fillId="0" borderId="59" xfId="46" applyFont="1" applyBorder="1"/>
    <xf numFmtId="0" fontId="119" fillId="0" borderId="60" xfId="46" applyFont="1" applyBorder="1"/>
    <xf numFmtId="3" fontId="119" fillId="0" borderId="60" xfId="46" applyNumberFormat="1" applyFont="1" applyBorder="1" applyAlignment="1">
      <alignment horizontal="right"/>
    </xf>
    <xf numFmtId="0" fontId="119" fillId="0" borderId="60" xfId="46" applyFont="1" applyBorder="1" applyAlignment="1">
      <alignment horizontal="right"/>
    </xf>
    <xf numFmtId="171" fontId="119" fillId="0" borderId="60" xfId="46" applyNumberFormat="1" applyFont="1" applyBorder="1"/>
    <xf numFmtId="0" fontId="119" fillId="0" borderId="60" xfId="46" quotePrefix="1" applyFont="1" applyBorder="1"/>
    <xf numFmtId="164" fontId="119" fillId="0" borderId="46" xfId="46" applyNumberFormat="1" applyFont="1" applyBorder="1"/>
    <xf numFmtId="0" fontId="122" fillId="0" borderId="42" xfId="46" applyFont="1" applyBorder="1"/>
    <xf numFmtId="0" fontId="119" fillId="0" borderId="0" xfId="46" applyFont="1" applyAlignment="1">
      <alignment horizontal="right"/>
    </xf>
    <xf numFmtId="9" fontId="119" fillId="0" borderId="0" xfId="47" applyFont="1" applyFill="1" applyBorder="1" applyAlignment="1">
      <alignment horizontal="left"/>
    </xf>
    <xf numFmtId="164" fontId="123" fillId="0" borderId="41" xfId="46" applyNumberFormat="1" applyFont="1" applyBorder="1"/>
    <xf numFmtId="0" fontId="119" fillId="0" borderId="42" xfId="46" applyFont="1" applyBorder="1"/>
    <xf numFmtId="164" fontId="119" fillId="0" borderId="41" xfId="46" applyNumberFormat="1" applyFont="1" applyBorder="1"/>
    <xf numFmtId="10" fontId="119" fillId="0" borderId="0" xfId="47" applyNumberFormat="1" applyFont="1" applyFill="1" applyBorder="1" applyAlignment="1">
      <alignment horizontal="left"/>
    </xf>
    <xf numFmtId="0" fontId="124" fillId="0" borderId="42" xfId="46" applyFont="1" applyBorder="1"/>
    <xf numFmtId="0" fontId="124" fillId="0" borderId="0" xfId="46" applyFont="1"/>
    <xf numFmtId="0" fontId="124" fillId="0" borderId="0" xfId="46" applyFont="1" applyAlignment="1">
      <alignment horizontal="right"/>
    </xf>
    <xf numFmtId="10" fontId="124" fillId="0" borderId="0" xfId="47" applyNumberFormat="1" applyFont="1" applyFill="1" applyBorder="1" applyAlignment="1">
      <alignment horizontal="left"/>
    </xf>
    <xf numFmtId="164" fontId="125" fillId="0" borderId="41" xfId="46" applyNumberFormat="1" applyFont="1" applyBorder="1"/>
    <xf numFmtId="164" fontId="122" fillId="0" borderId="41" xfId="46" applyNumberFormat="1" applyFont="1" applyBorder="1"/>
    <xf numFmtId="0" fontId="120" fillId="0" borderId="61" xfId="46" applyFont="1" applyBorder="1"/>
    <xf numFmtId="0" fontId="120" fillId="0" borderId="62" xfId="46" applyFont="1" applyBorder="1"/>
    <xf numFmtId="164" fontId="126" fillId="0" borderId="63" xfId="46" applyNumberFormat="1" applyFont="1" applyBorder="1"/>
    <xf numFmtId="0" fontId="120" fillId="0" borderId="43" xfId="46" applyFont="1" applyBorder="1"/>
    <xf numFmtId="0" fontId="118" fillId="0" borderId="0" xfId="46" applyFont="1" applyProtection="1">
      <protection locked="0"/>
    </xf>
    <xf numFmtId="165" fontId="42" fillId="2" borderId="0" xfId="42" applyFont="1" applyProtection="1">
      <protection locked="0"/>
    </xf>
    <xf numFmtId="165" fontId="42" fillId="38" borderId="4" xfId="42" applyFont="1" applyFill="1" applyBorder="1" applyAlignment="1" applyProtection="1">
      <alignment horizontal="center" vertical="center"/>
      <protection locked="0"/>
    </xf>
    <xf numFmtId="165" fontId="69" fillId="2" borderId="0" xfId="42" applyFont="1" applyProtection="1">
      <protection locked="0"/>
    </xf>
    <xf numFmtId="165" fontId="2" fillId="35" borderId="0" xfId="42" applyFont="1" applyFill="1" applyAlignment="1" applyProtection="1">
      <alignment horizontal="left"/>
      <protection locked="0"/>
    </xf>
    <xf numFmtId="0" fontId="69" fillId="35" borderId="0" xfId="42" applyNumberFormat="1" applyFont="1" applyFill="1" applyAlignment="1" applyProtection="1">
      <alignment horizontal="left"/>
      <protection locked="0"/>
    </xf>
    <xf numFmtId="0" fontId="6" fillId="0" borderId="0" xfId="0" applyFont="1" applyProtection="1">
      <protection locked="0"/>
    </xf>
    <xf numFmtId="0" fontId="3" fillId="0" borderId="0" xfId="0" applyFont="1" applyProtection="1">
      <protection locked="0"/>
    </xf>
    <xf numFmtId="0" fontId="42" fillId="0" borderId="0" xfId="0" applyFont="1" applyProtection="1">
      <protection locked="0"/>
    </xf>
    <xf numFmtId="0" fontId="49" fillId="0" borderId="0" xfId="0" applyFont="1" applyProtection="1">
      <protection locked="0"/>
    </xf>
    <xf numFmtId="0" fontId="49" fillId="0" borderId="0" xfId="0" applyFont="1" applyAlignment="1" applyProtection="1">
      <alignment horizontal="right"/>
      <protection locked="0"/>
    </xf>
    <xf numFmtId="0" fontId="5" fillId="0" borderId="0" xfId="0" applyFont="1" applyAlignment="1" applyProtection="1">
      <alignment horizontal="left"/>
      <protection locked="0"/>
    </xf>
    <xf numFmtId="164" fontId="50" fillId="0" borderId="0" xfId="0" applyNumberFormat="1" applyFont="1" applyProtection="1">
      <protection locked="0"/>
    </xf>
    <xf numFmtId="0" fontId="5" fillId="0" borderId="0" xfId="0" applyFont="1" applyAlignment="1" applyProtection="1">
      <alignment horizontal="center"/>
      <protection locked="0"/>
    </xf>
    <xf numFmtId="0" fontId="5" fillId="0" borderId="0" xfId="0" applyFont="1" applyAlignment="1" applyProtection="1">
      <alignment horizontal="right"/>
      <protection locked="0"/>
    </xf>
    <xf numFmtId="164" fontId="5" fillId="0" borderId="0" xfId="0" applyNumberFormat="1" applyFont="1" applyAlignment="1" applyProtection="1">
      <alignment horizontal="center"/>
      <protection locked="0"/>
    </xf>
    <xf numFmtId="0" fontId="0" fillId="0" borderId="0" xfId="0" applyAlignment="1">
      <alignment horizontal="left" vertical="center"/>
    </xf>
    <xf numFmtId="0" fontId="1" fillId="0" borderId="0" xfId="0" applyFont="1" applyAlignment="1" applyProtection="1">
      <alignment horizontal="center"/>
      <protection locked="0"/>
    </xf>
    <xf numFmtId="0" fontId="1" fillId="0" borderId="0" xfId="0" applyFont="1" applyAlignment="1">
      <alignment horizontal="left" vertical="center"/>
    </xf>
    <xf numFmtId="0" fontId="0" fillId="0" borderId="0" xfId="0" applyAlignment="1" applyProtection="1">
      <alignment horizontal="left" vertical="center"/>
      <protection locked="0"/>
    </xf>
    <xf numFmtId="0" fontId="80" fillId="0" borderId="0" xfId="0" applyFont="1" applyAlignment="1">
      <alignment horizontal="left" vertical="center"/>
    </xf>
    <xf numFmtId="0" fontId="1" fillId="0" borderId="55" xfId="0" applyFont="1" applyBorder="1" applyAlignment="1">
      <alignment horizontal="center" vertical="center"/>
    </xf>
    <xf numFmtId="0" fontId="1" fillId="0" borderId="0" xfId="0" applyFont="1" applyAlignment="1" applyProtection="1">
      <alignment horizontal="center" vertical="top"/>
      <protection locked="0"/>
    </xf>
    <xf numFmtId="2" fontId="0" fillId="0" borderId="0" xfId="0" applyNumberFormat="1" applyAlignment="1">
      <alignment horizontal="center" vertical="center"/>
    </xf>
    <xf numFmtId="164" fontId="1" fillId="0" borderId="55" xfId="0" applyNumberFormat="1" applyFont="1" applyBorder="1" applyAlignment="1">
      <alignment horizontal="center" vertical="center"/>
    </xf>
    <xf numFmtId="0" fontId="83" fillId="0" borderId="0" xfId="0" applyFont="1" applyProtection="1">
      <protection locked="0"/>
    </xf>
    <xf numFmtId="0" fontId="0" fillId="0" borderId="0" xfId="0" applyAlignment="1" applyProtection="1">
      <alignment horizontal="center" vertical="center" wrapText="1"/>
      <protection locked="0"/>
    </xf>
    <xf numFmtId="0" fontId="29" fillId="0" borderId="0" xfId="0" applyFont="1" applyAlignment="1" applyProtection="1">
      <alignment horizontal="center" vertical="center" wrapText="1"/>
      <protection locked="0"/>
    </xf>
    <xf numFmtId="0" fontId="1" fillId="0" borderId="0" xfId="0" applyFont="1" applyAlignment="1" applyProtection="1">
      <alignment horizontal="right"/>
      <protection locked="0"/>
    </xf>
    <xf numFmtId="0" fontId="1" fillId="0" borderId="0" xfId="0" applyFont="1" applyAlignment="1" applyProtection="1">
      <alignment horizontal="right" vertical="top"/>
      <protection locked="0"/>
    </xf>
    <xf numFmtId="0" fontId="0" fillId="0" borderId="0" xfId="0" applyAlignment="1" applyProtection="1">
      <alignment vertical="center"/>
      <protection locked="0"/>
    </xf>
    <xf numFmtId="0" fontId="0" fillId="0" borderId="0" xfId="0" applyAlignment="1" applyProtection="1">
      <alignment horizontal="right"/>
      <protection locked="0"/>
    </xf>
    <xf numFmtId="0" fontId="6" fillId="0" borderId="0" xfId="0" applyFont="1" applyAlignment="1" applyProtection="1">
      <alignment horizontal="center"/>
      <protection locked="0"/>
    </xf>
    <xf numFmtId="0" fontId="25" fillId="0" borderId="0" xfId="0" applyFont="1" applyProtection="1">
      <protection locked="0"/>
    </xf>
    <xf numFmtId="0" fontId="35" fillId="0" borderId="0" xfId="0" applyFont="1" applyAlignment="1" applyProtection="1">
      <alignment horizontal="left"/>
      <protection locked="0"/>
    </xf>
    <xf numFmtId="0" fontId="27" fillId="0" borderId="0" xfId="0" applyFont="1" applyAlignment="1" applyProtection="1">
      <alignment horizontal="right"/>
      <protection locked="0"/>
    </xf>
    <xf numFmtId="0" fontId="1" fillId="0" borderId="0" xfId="0" applyFont="1" applyAlignment="1" applyProtection="1">
      <alignment horizontal="right" vertical="center"/>
      <protection locked="0"/>
    </xf>
    <xf numFmtId="166" fontId="6" fillId="0" borderId="0" xfId="0" applyNumberFormat="1" applyFont="1" applyAlignment="1" applyProtection="1">
      <alignment horizontal="center"/>
      <protection locked="0"/>
    </xf>
    <xf numFmtId="14" fontId="6" fillId="0" borderId="0" xfId="0" applyNumberFormat="1" applyFont="1" applyAlignment="1" applyProtection="1">
      <alignment horizontal="center"/>
      <protection locked="0"/>
    </xf>
    <xf numFmtId="0" fontId="89" fillId="0" borderId="0" xfId="0" applyFont="1" applyAlignment="1" applyProtection="1">
      <alignment horizontal="left"/>
      <protection locked="0"/>
    </xf>
    <xf numFmtId="172" fontId="6" fillId="0" borderId="0" xfId="0" applyNumberFormat="1" applyFont="1" applyAlignment="1" applyProtection="1">
      <alignment horizontal="center"/>
      <protection locked="0"/>
    </xf>
    <xf numFmtId="164" fontId="6" fillId="0" borderId="0" xfId="0" applyNumberFormat="1" applyFont="1" applyAlignment="1" applyProtection="1">
      <alignment horizontal="center"/>
      <protection locked="0"/>
    </xf>
    <xf numFmtId="0" fontId="23" fillId="0" borderId="0" xfId="0" applyFont="1" applyAlignment="1" applyProtection="1">
      <alignment horizontal="left"/>
      <protection locked="0"/>
    </xf>
    <xf numFmtId="14" fontId="83" fillId="0" borderId="0" xfId="0" applyNumberFormat="1" applyFont="1"/>
    <xf numFmtId="0" fontId="83" fillId="0" borderId="0" xfId="0" applyFont="1"/>
    <xf numFmtId="0" fontId="1" fillId="0" borderId="0" xfId="0" applyFont="1" applyAlignment="1">
      <alignment vertical="center" wrapText="1"/>
    </xf>
    <xf numFmtId="0" fontId="1" fillId="0" borderId="0" xfId="0" applyFont="1" applyProtection="1">
      <protection locked="0"/>
    </xf>
    <xf numFmtId="0" fontId="1" fillId="0" borderId="0" xfId="0" applyFont="1" applyAlignment="1" applyProtection="1">
      <alignment vertical="top" wrapText="1"/>
      <protection locked="0"/>
    </xf>
    <xf numFmtId="0" fontId="26" fillId="0" borderId="0" xfId="0" applyFont="1" applyProtection="1">
      <protection locked="0"/>
    </xf>
    <xf numFmtId="0" fontId="53" fillId="0" borderId="0" xfId="0" applyFont="1" applyAlignment="1" applyProtection="1">
      <alignment horizontal="right" vertical="center" wrapText="1"/>
      <protection locked="0"/>
    </xf>
    <xf numFmtId="0" fontId="23" fillId="0" borderId="0" xfId="0" applyFont="1" applyProtection="1">
      <protection locked="0"/>
    </xf>
    <xf numFmtId="0" fontId="23" fillId="0" borderId="0" xfId="0" applyFont="1" applyAlignment="1" applyProtection="1">
      <alignment vertical="top" wrapText="1"/>
      <protection locked="0"/>
    </xf>
    <xf numFmtId="0" fontId="23" fillId="0" borderId="0" xfId="0" applyFont="1" applyAlignment="1" applyProtection="1">
      <alignment horizontal="left" wrapText="1"/>
      <protection locked="0"/>
    </xf>
    <xf numFmtId="0" fontId="85" fillId="0" borderId="0" xfId="0" applyFont="1" applyAlignment="1" applyProtection="1">
      <alignment horizontal="left" wrapText="1"/>
      <protection locked="0"/>
    </xf>
    <xf numFmtId="0" fontId="23" fillId="0" borderId="0" xfId="0" applyFont="1" applyAlignment="1" applyProtection="1">
      <alignment vertical="center"/>
      <protection locked="0"/>
    </xf>
    <xf numFmtId="0" fontId="86" fillId="0" borderId="0" xfId="0" applyFont="1" applyAlignment="1" applyProtection="1">
      <alignment vertical="top" wrapText="1"/>
      <protection locked="0"/>
    </xf>
    <xf numFmtId="0" fontId="27" fillId="0" borderId="0" xfId="0" applyFont="1" applyAlignment="1" applyProtection="1">
      <alignment vertical="top"/>
      <protection locked="0"/>
    </xf>
    <xf numFmtId="0" fontId="23" fillId="0" borderId="0" xfId="0" applyFont="1" applyAlignment="1" applyProtection="1">
      <alignment vertical="top"/>
      <protection locked="0"/>
    </xf>
    <xf numFmtId="2" fontId="0" fillId="0" borderId="0" xfId="0" applyNumberFormat="1" applyAlignment="1" applyProtection="1">
      <alignment horizontal="center"/>
      <protection locked="0"/>
    </xf>
    <xf numFmtId="0" fontId="23" fillId="0" borderId="0" xfId="0" applyFont="1" applyAlignment="1" applyProtection="1">
      <alignment vertical="center" wrapText="1"/>
      <protection locked="0"/>
    </xf>
    <xf numFmtId="0" fontId="6" fillId="0" borderId="70" xfId="0" applyFont="1" applyBorder="1" applyAlignment="1" applyProtection="1">
      <alignment horizontal="center" vertical="center"/>
      <protection locked="0"/>
    </xf>
    <xf numFmtId="14" fontId="6" fillId="0" borderId="70" xfId="0" applyNumberFormat="1" applyFont="1" applyBorder="1" applyAlignment="1">
      <alignment horizontal="center" vertical="center"/>
    </xf>
    <xf numFmtId="14" fontId="6" fillId="0" borderId="70" xfId="0" applyNumberFormat="1" applyFont="1" applyBorder="1" applyAlignment="1" applyProtection="1">
      <alignment horizontal="center" vertical="center"/>
      <protection locked="0"/>
    </xf>
    <xf numFmtId="0" fontId="136" fillId="0" borderId="70" xfId="0" applyFont="1" applyBorder="1" applyAlignment="1" applyProtection="1">
      <alignment horizontal="left" vertical="center" wrapText="1"/>
      <protection locked="0"/>
    </xf>
    <xf numFmtId="0" fontId="136" fillId="0" borderId="70" xfId="0" applyFont="1" applyBorder="1" applyAlignment="1" applyProtection="1">
      <alignment horizontal="left" vertical="center"/>
      <protection locked="0"/>
    </xf>
    <xf numFmtId="3" fontId="136" fillId="0" borderId="70" xfId="0" applyNumberFormat="1" applyFont="1" applyBorder="1" applyAlignment="1" applyProtection="1">
      <alignment horizontal="left" vertical="center"/>
      <protection locked="0"/>
    </xf>
    <xf numFmtId="1" fontId="136" fillId="0" borderId="70" xfId="0" applyNumberFormat="1" applyFont="1" applyBorder="1" applyAlignment="1" applyProtection="1">
      <alignment horizontal="left" vertical="center"/>
      <protection locked="0"/>
    </xf>
    <xf numFmtId="2" fontId="136" fillId="0" borderId="70" xfId="0" applyNumberFormat="1" applyFont="1" applyBorder="1" applyAlignment="1" applyProtection="1">
      <alignment horizontal="left" vertical="center"/>
      <protection locked="0"/>
    </xf>
    <xf numFmtId="171" fontId="136" fillId="0" borderId="70" xfId="0" applyNumberFormat="1" applyFont="1" applyBorder="1" applyAlignment="1" applyProtection="1">
      <alignment horizontal="left" vertical="center"/>
      <protection locked="0"/>
    </xf>
    <xf numFmtId="9" fontId="136" fillId="0" borderId="70" xfId="0" applyNumberFormat="1" applyFont="1" applyBorder="1" applyAlignment="1" applyProtection="1">
      <alignment horizontal="left" vertical="center"/>
      <protection locked="0"/>
    </xf>
    <xf numFmtId="10" fontId="136" fillId="0" borderId="70" xfId="0" applyNumberFormat="1" applyFont="1" applyBorder="1" applyAlignment="1" applyProtection="1">
      <alignment horizontal="left" vertical="center"/>
      <protection locked="0"/>
    </xf>
    <xf numFmtId="10" fontId="136" fillId="0" borderId="70" xfId="0" applyNumberFormat="1" applyFont="1" applyBorder="1" applyAlignment="1">
      <alignment horizontal="left" vertical="center"/>
    </xf>
    <xf numFmtId="0" fontId="0" fillId="0" borderId="70" xfId="0" applyBorder="1" applyAlignment="1" applyProtection="1">
      <alignment horizontal="center"/>
      <protection locked="0"/>
    </xf>
    <xf numFmtId="0" fontId="0" fillId="0" borderId="70" xfId="0" applyBorder="1" applyProtection="1">
      <protection locked="0"/>
      <extLst>
        <ext xmlns:xfpb="http://schemas.microsoft.com/office/spreadsheetml/2022/featurepropertybag" uri="{C7286773-470A-42A8-94C5-96B5CB345126}">
          <xfpb:xfComplement i="0"/>
        </ext>
      </extLst>
    </xf>
    <xf numFmtId="0" fontId="1" fillId="41" borderId="70" xfId="0" applyFont="1" applyFill="1" applyBorder="1" applyAlignment="1" applyProtection="1">
      <alignment horizontal="right" vertical="center"/>
      <protection locked="0"/>
    </xf>
    <xf numFmtId="0" fontId="82" fillId="41" borderId="70" xfId="0" applyFont="1" applyFill="1" applyBorder="1" applyAlignment="1" applyProtection="1">
      <alignment horizontal="right" vertical="center"/>
      <protection locked="0"/>
    </xf>
    <xf numFmtId="0" fontId="1" fillId="41" borderId="70" xfId="0" applyFont="1" applyFill="1" applyBorder="1" applyAlignment="1" applyProtection="1">
      <alignment horizontal="center"/>
      <protection locked="0"/>
    </xf>
    <xf numFmtId="0" fontId="0" fillId="0" borderId="74" xfId="0" applyBorder="1"/>
    <xf numFmtId="0" fontId="141" fillId="0" borderId="0" xfId="0" applyFont="1" applyAlignment="1">
      <alignment horizontal="center"/>
    </xf>
    <xf numFmtId="0" fontId="141" fillId="0" borderId="0" xfId="0" applyFont="1" applyAlignment="1">
      <alignment horizontal="right"/>
    </xf>
    <xf numFmtId="0" fontId="0" fillId="8" borderId="74" xfId="0" applyFill="1" applyBorder="1" applyAlignment="1">
      <alignment horizontal="left"/>
    </xf>
    <xf numFmtId="0" fontId="140" fillId="0" borderId="0" xfId="0" applyFont="1" applyAlignment="1">
      <alignment vertical="center"/>
    </xf>
    <xf numFmtId="0" fontId="142" fillId="0" borderId="0" xfId="0" applyFont="1" applyAlignment="1">
      <alignment vertical="center"/>
    </xf>
    <xf numFmtId="0" fontId="143" fillId="0" borderId="0" xfId="0" applyFont="1" applyAlignment="1">
      <alignment vertical="center"/>
    </xf>
    <xf numFmtId="0" fontId="1" fillId="0" borderId="0" xfId="0" applyFont="1" applyAlignment="1">
      <alignment horizontal="right" vertical="center"/>
    </xf>
    <xf numFmtId="0" fontId="32" fillId="2" borderId="55" xfId="44" applyNumberFormat="1" applyFont="1" applyBorder="1" applyAlignment="1">
      <alignment vertical="center"/>
    </xf>
    <xf numFmtId="169" fontId="0" fillId="8" borderId="74" xfId="0" applyNumberFormat="1" applyFill="1" applyBorder="1" applyAlignment="1">
      <alignment horizontal="left"/>
    </xf>
    <xf numFmtId="0" fontId="82" fillId="0" borderId="0" xfId="0" applyFont="1" applyAlignment="1">
      <alignment horizontal="right"/>
    </xf>
    <xf numFmtId="164" fontId="0" fillId="8" borderId="74" xfId="0" applyNumberFormat="1" applyFill="1" applyBorder="1" applyAlignment="1">
      <alignment horizontal="left"/>
    </xf>
    <xf numFmtId="2" fontId="0" fillId="0" borderId="0" xfId="0" applyNumberFormat="1" applyAlignment="1" applyProtection="1">
      <alignment horizontal="center" vertical="center"/>
      <protection locked="0"/>
    </xf>
    <xf numFmtId="0" fontId="0" fillId="0" borderId="0" xfId="0" applyAlignment="1" applyProtection="1">
      <alignment vertical="center" wrapText="1"/>
      <protection locked="0"/>
    </xf>
    <xf numFmtId="0" fontId="6" fillId="0" borderId="0" xfId="0" applyFont="1" applyAlignment="1" applyProtection="1">
      <alignment vertical="top" wrapText="1"/>
      <protection locked="0"/>
    </xf>
    <xf numFmtId="0" fontId="55" fillId="0" borderId="0" xfId="0" applyFont="1" applyAlignment="1" applyProtection="1">
      <alignment horizontal="center" wrapText="1"/>
      <protection locked="0"/>
    </xf>
    <xf numFmtId="0" fontId="24" fillId="0" borderId="0" xfId="0" applyFont="1" applyAlignment="1" applyProtection="1">
      <alignment horizontal="center" wrapText="1"/>
      <protection locked="0"/>
    </xf>
    <xf numFmtId="0" fontId="54" fillId="0" borderId="0" xfId="0" applyFont="1" applyProtection="1">
      <protection locked="0"/>
    </xf>
    <xf numFmtId="0" fontId="24" fillId="0" borderId="0" xfId="0" applyFont="1" applyAlignment="1" applyProtection="1">
      <alignment horizontal="center" vertical="center" wrapText="1"/>
      <protection locked="0"/>
    </xf>
    <xf numFmtId="0" fontId="84" fillId="0" borderId="0" xfId="0" applyFont="1" applyAlignment="1" applyProtection="1">
      <alignment horizontal="center" vertical="center" wrapText="1"/>
      <protection locked="0"/>
    </xf>
    <xf numFmtId="0" fontId="24" fillId="0" borderId="0" xfId="0" applyFont="1" applyAlignment="1" applyProtection="1">
      <alignment horizontal="center"/>
      <protection locked="0"/>
    </xf>
    <xf numFmtId="0" fontId="53" fillId="0" borderId="0" xfId="0" applyFont="1" applyAlignment="1" applyProtection="1">
      <alignment horizontal="center"/>
      <protection locked="0"/>
    </xf>
    <xf numFmtId="0" fontId="52" fillId="0" borderId="0" xfId="0" applyFont="1" applyProtection="1">
      <protection locked="0"/>
    </xf>
    <xf numFmtId="0" fontId="53" fillId="0" borderId="0" xfId="0" applyFont="1" applyAlignment="1" applyProtection="1">
      <alignment horizontal="center" vertical="top" wrapText="1"/>
      <protection locked="0"/>
    </xf>
    <xf numFmtId="0" fontId="52" fillId="0" borderId="0" xfId="0" applyFont="1" applyAlignment="1" applyProtection="1">
      <alignment vertical="top" wrapText="1"/>
      <protection locked="0"/>
    </xf>
    <xf numFmtId="0" fontId="5" fillId="0" borderId="0" xfId="0" applyFont="1" applyProtection="1">
      <protection locked="0"/>
    </xf>
    <xf numFmtId="0" fontId="51" fillId="0" borderId="0" xfId="0" applyFont="1" applyProtection="1">
      <protection locked="0"/>
    </xf>
    <xf numFmtId="0" fontId="50" fillId="0" borderId="0" xfId="0" applyFont="1" applyProtection="1">
      <protection locked="0"/>
    </xf>
    <xf numFmtId="0" fontId="49" fillId="0" borderId="0" xfId="0" applyFont="1" applyAlignment="1" applyProtection="1">
      <alignment horizontal="left"/>
      <protection locked="0"/>
    </xf>
    <xf numFmtId="0" fontId="50" fillId="0" borderId="0" xfId="0" applyFont="1" applyAlignment="1" applyProtection="1">
      <alignment horizontal="left"/>
      <protection locked="0"/>
    </xf>
    <xf numFmtId="164" fontId="5" fillId="0" borderId="0" xfId="0" applyNumberFormat="1" applyFont="1" applyAlignment="1" applyProtection="1">
      <alignment horizontal="center" wrapText="1"/>
      <protection locked="0"/>
    </xf>
    <xf numFmtId="0" fontId="3" fillId="0" borderId="0" xfId="0" applyFont="1" applyAlignment="1" applyProtection="1">
      <alignment wrapText="1"/>
      <protection locked="0"/>
    </xf>
    <xf numFmtId="0" fontId="46" fillId="0" borderId="0" xfId="0" applyFont="1" applyAlignment="1" applyProtection="1">
      <alignment vertical="top" wrapText="1"/>
      <protection locked="0"/>
    </xf>
    <xf numFmtId="0" fontId="48" fillId="0" borderId="0" xfId="0" applyFont="1" applyAlignment="1" applyProtection="1">
      <alignment vertical="top" wrapText="1"/>
      <protection locked="0"/>
    </xf>
    <xf numFmtId="0" fontId="5" fillId="0" borderId="0" xfId="0" applyFont="1"/>
    <xf numFmtId="0" fontId="6" fillId="0" borderId="0" xfId="0" applyFont="1" applyAlignment="1" applyProtection="1">
      <alignment horizontal="left" vertical="top" wrapText="1"/>
      <protection locked="0"/>
    </xf>
    <xf numFmtId="164" fontId="4" fillId="0" borderId="0" xfId="0" applyNumberFormat="1" applyFont="1" applyAlignment="1" applyProtection="1">
      <alignment vertical="top"/>
      <protection locked="0"/>
    </xf>
    <xf numFmtId="164" fontId="5" fillId="0" borderId="0" xfId="0" applyNumberFormat="1" applyFont="1" applyAlignment="1" applyProtection="1">
      <alignment horizontal="left" vertical="top"/>
      <protection locked="0"/>
    </xf>
    <xf numFmtId="164" fontId="5" fillId="0" borderId="0" xfId="0" applyNumberFormat="1" applyFont="1" applyAlignment="1">
      <alignment horizontal="left" vertical="top"/>
    </xf>
    <xf numFmtId="0" fontId="5" fillId="0" borderId="0" xfId="0" applyFont="1" applyAlignment="1" applyProtection="1">
      <alignment horizontal="left" vertical="top"/>
      <protection locked="0"/>
    </xf>
    <xf numFmtId="0" fontId="49" fillId="0" borderId="0" xfId="0" applyFont="1" applyAlignment="1" applyProtection="1">
      <alignment horizontal="left" vertical="top"/>
      <protection locked="0"/>
    </xf>
    <xf numFmtId="0" fontId="1" fillId="0" borderId="0" xfId="0" applyFont="1" applyAlignment="1" applyProtection="1">
      <alignment horizontal="center" vertical="center" wrapText="1"/>
      <protection locked="0"/>
    </xf>
    <xf numFmtId="0" fontId="1" fillId="0" borderId="0" xfId="0" applyFont="1" applyAlignment="1" applyProtection="1">
      <alignment horizontal="center" vertical="center"/>
      <protection locked="0"/>
    </xf>
    <xf numFmtId="165" fontId="42" fillId="2" borderId="39" xfId="42" applyFont="1" applyBorder="1" applyAlignment="1">
      <alignment vertical="center"/>
    </xf>
    <xf numFmtId="167" fontId="42" fillId="2" borderId="39" xfId="42" applyNumberFormat="1" applyFont="1" applyBorder="1" applyAlignment="1">
      <alignment horizontal="center" vertical="center"/>
    </xf>
    <xf numFmtId="165" fontId="42" fillId="2" borderId="0" xfId="42" applyFont="1" applyAlignment="1">
      <alignment horizontal="center" vertical="center"/>
    </xf>
    <xf numFmtId="165" fontId="64" fillId="2" borderId="0" xfId="42" applyFont="1" applyAlignment="1">
      <alignment horizontal="center" vertical="center"/>
    </xf>
    <xf numFmtId="165" fontId="42" fillId="2" borderId="0" xfId="42" applyFont="1" applyAlignment="1">
      <alignment vertical="center"/>
    </xf>
    <xf numFmtId="167" fontId="42" fillId="2" borderId="38" xfId="42" applyNumberFormat="1" applyFont="1" applyBorder="1" applyAlignment="1">
      <alignment horizontal="center" vertical="center"/>
    </xf>
    <xf numFmtId="165" fontId="42" fillId="2" borderId="72" xfId="42" applyFont="1" applyBorder="1" applyAlignment="1">
      <alignment vertical="center"/>
    </xf>
    <xf numFmtId="165" fontId="4" fillId="2" borderId="72" xfId="42" applyFont="1" applyBorder="1" applyAlignment="1">
      <alignment horizontal="center" vertical="center"/>
    </xf>
    <xf numFmtId="49" fontId="42" fillId="2" borderId="0" xfId="42" applyNumberFormat="1" applyFont="1" applyAlignment="1">
      <alignment horizontal="center" vertical="center"/>
    </xf>
    <xf numFmtId="0" fontId="4" fillId="2" borderId="0" xfId="42" applyNumberFormat="1" applyFont="1" applyAlignment="1">
      <alignment horizontal="center" vertical="center"/>
    </xf>
    <xf numFmtId="165" fontId="64" fillId="39" borderId="34" xfId="42" applyFont="1" applyFill="1" applyBorder="1" applyAlignment="1">
      <alignment vertical="center"/>
    </xf>
    <xf numFmtId="165" fontId="64" fillId="39" borderId="33" xfId="42" applyFont="1" applyFill="1" applyBorder="1" applyAlignment="1">
      <alignment horizontal="center" vertical="center"/>
    </xf>
    <xf numFmtId="0" fontId="42" fillId="0" borderId="4" xfId="42" applyNumberFormat="1" applyFont="1" applyFill="1" applyBorder="1" applyAlignment="1">
      <alignment horizontal="center" vertical="center" wrapText="1"/>
    </xf>
    <xf numFmtId="0" fontId="42" fillId="0" borderId="4" xfId="42" applyNumberFormat="1" applyFont="1" applyFill="1" applyBorder="1" applyAlignment="1">
      <alignment horizontal="center" vertical="center"/>
    </xf>
    <xf numFmtId="165" fontId="70" fillId="39" borderId="4" xfId="42" applyFont="1" applyFill="1" applyBorder="1" applyAlignment="1">
      <alignment horizontal="center" vertical="center" wrapText="1"/>
    </xf>
    <xf numFmtId="165" fontId="70" fillId="0" borderId="4" xfId="42" applyFont="1" applyFill="1" applyBorder="1" applyAlignment="1">
      <alignment horizontal="center" vertical="center"/>
    </xf>
    <xf numFmtId="165" fontId="42" fillId="0" borderId="4" xfId="42" applyFont="1" applyFill="1" applyBorder="1" applyAlignment="1">
      <alignment horizontal="center" vertical="center"/>
    </xf>
    <xf numFmtId="165" fontId="42" fillId="39" borderId="4" xfId="42" applyFont="1" applyFill="1" applyBorder="1" applyAlignment="1">
      <alignment horizontal="center" vertical="center"/>
    </xf>
    <xf numFmtId="4" fontId="42" fillId="39" borderId="4" xfId="42" applyNumberFormat="1" applyFont="1" applyFill="1" applyBorder="1" applyAlignment="1">
      <alignment horizontal="center" vertical="center"/>
    </xf>
    <xf numFmtId="167" fontId="42" fillId="0" borderId="4" xfId="42" applyNumberFormat="1" applyFont="1" applyFill="1" applyBorder="1" applyAlignment="1">
      <alignment horizontal="center" vertical="center"/>
    </xf>
    <xf numFmtId="5" fontId="42" fillId="39" borderId="4" xfId="42" applyNumberFormat="1" applyFont="1" applyFill="1" applyBorder="1" applyAlignment="1">
      <alignment horizontal="center" vertical="center"/>
    </xf>
    <xf numFmtId="5" fontId="42" fillId="0" borderId="4" xfId="42" applyNumberFormat="1" applyFont="1" applyFill="1" applyBorder="1" applyAlignment="1">
      <alignment horizontal="center" vertical="center"/>
    </xf>
    <xf numFmtId="39" fontId="42" fillId="39" borderId="4" xfId="42" applyNumberFormat="1" applyFont="1" applyFill="1" applyBorder="1" applyAlignment="1">
      <alignment horizontal="center" vertical="center"/>
    </xf>
    <xf numFmtId="2" fontId="42" fillId="39" borderId="4" xfId="42" applyNumberFormat="1" applyFont="1" applyFill="1" applyBorder="1" applyAlignment="1">
      <alignment horizontal="center" vertical="center"/>
    </xf>
    <xf numFmtId="37" fontId="42" fillId="0" borderId="4" xfId="42" applyNumberFormat="1" applyFont="1" applyFill="1" applyBorder="1" applyAlignment="1">
      <alignment horizontal="center" vertical="center"/>
    </xf>
    <xf numFmtId="2" fontId="70" fillId="39" borderId="4" xfId="42" applyNumberFormat="1" applyFont="1" applyFill="1" applyBorder="1" applyAlignment="1">
      <alignment horizontal="center" vertical="center"/>
    </xf>
    <xf numFmtId="165" fontId="74" fillId="2" borderId="0" xfId="42" applyFont="1"/>
    <xf numFmtId="165" fontId="74" fillId="2" borderId="32" xfId="42" applyFont="1" applyBorder="1"/>
    <xf numFmtId="165" fontId="70" fillId="39" borderId="19" xfId="42" applyFont="1" applyFill="1" applyBorder="1" applyAlignment="1">
      <alignment vertical="center"/>
    </xf>
    <xf numFmtId="165" fontId="70" fillId="0" borderId="19" xfId="42" applyFont="1" applyFill="1" applyBorder="1" applyAlignment="1">
      <alignment vertical="center"/>
    </xf>
    <xf numFmtId="2" fontId="75" fillId="38" borderId="4" xfId="42" applyNumberFormat="1" applyFont="1" applyFill="1" applyBorder="1" applyAlignment="1">
      <alignment horizontal="center" vertical="center"/>
    </xf>
    <xf numFmtId="2" fontId="70" fillId="0" borderId="4" xfId="42" applyNumberFormat="1" applyFont="1" applyFill="1" applyBorder="1" applyAlignment="1">
      <alignment horizontal="center" vertical="center"/>
    </xf>
    <xf numFmtId="165" fontId="47" fillId="2" borderId="0" xfId="42" applyFont="1" applyAlignment="1">
      <alignment horizontal="center"/>
    </xf>
    <xf numFmtId="37" fontId="67" fillId="2" borderId="23" xfId="42" applyNumberFormat="1" applyFont="1" applyBorder="1" applyAlignment="1">
      <alignment horizontal="center"/>
    </xf>
    <xf numFmtId="165" fontId="66" fillId="2" borderId="0" xfId="42" applyFont="1" applyAlignment="1">
      <alignment horizontal="left"/>
    </xf>
    <xf numFmtId="164" fontId="44" fillId="2" borderId="21" xfId="42" applyNumberFormat="1" applyFont="1" applyBorder="1" applyAlignment="1">
      <alignment horizontal="center" vertical="center"/>
    </xf>
    <xf numFmtId="37" fontId="45" fillId="2" borderId="0" xfId="42" applyNumberFormat="1" applyFont="1" applyAlignment="1">
      <alignment horizontal="center"/>
    </xf>
    <xf numFmtId="165" fontId="45" fillId="2" borderId="0" xfId="42" applyFont="1" applyAlignment="1">
      <alignment horizontal="center"/>
    </xf>
    <xf numFmtId="164" fontId="31" fillId="2" borderId="0" xfId="42" applyNumberFormat="1" applyFont="1"/>
    <xf numFmtId="39" fontId="45" fillId="2" borderId="0" xfId="42" applyNumberFormat="1" applyFont="1" applyAlignment="1">
      <alignment horizontal="center"/>
    </xf>
    <xf numFmtId="5" fontId="62" fillId="2" borderId="22" xfId="42" applyNumberFormat="1" applyFont="1" applyBorder="1" applyAlignment="1">
      <alignment horizontal="right"/>
    </xf>
    <xf numFmtId="176" fontId="0" fillId="0" borderId="0" xfId="0" applyNumberFormat="1"/>
    <xf numFmtId="0" fontId="0" fillId="0" borderId="64" xfId="0" applyBorder="1"/>
    <xf numFmtId="0" fontId="0" fillId="0" borderId="65" xfId="0" applyBorder="1" applyAlignment="1">
      <alignment vertical="center"/>
    </xf>
    <xf numFmtId="0" fontId="0" fillId="0" borderId="65" xfId="0" applyBorder="1" applyAlignment="1">
      <alignment horizontal="center" vertical="center"/>
    </xf>
    <xf numFmtId="0" fontId="0" fillId="0" borderId="66" xfId="0" applyBorder="1" applyAlignment="1">
      <alignment horizontal="center" vertical="center"/>
    </xf>
    <xf numFmtId="0" fontId="0" fillId="0" borderId="40" xfId="0" applyBorder="1"/>
    <xf numFmtId="0" fontId="0" fillId="0" borderId="69" xfId="0" applyBorder="1"/>
    <xf numFmtId="0" fontId="0" fillId="0" borderId="67" xfId="0" applyBorder="1"/>
    <xf numFmtId="3" fontId="0" fillId="0" borderId="70" xfId="0" applyNumberFormat="1" applyBorder="1" applyAlignment="1">
      <alignment horizontal="right" vertical="center"/>
    </xf>
    <xf numFmtId="0" fontId="0" fillId="0" borderId="0" xfId="0" applyAlignment="1">
      <alignment horizontal="right" vertical="center"/>
    </xf>
    <xf numFmtId="2" fontId="0" fillId="0" borderId="70" xfId="0" applyNumberFormat="1" applyBorder="1" applyAlignment="1">
      <alignment horizontal="right" vertical="center"/>
    </xf>
    <xf numFmtId="0" fontId="0" fillId="0" borderId="0" xfId="0" applyAlignment="1">
      <alignment horizontal="right"/>
    </xf>
    <xf numFmtId="0" fontId="0" fillId="0" borderId="69" xfId="0" applyBorder="1" applyAlignment="1">
      <alignment horizontal="right"/>
    </xf>
    <xf numFmtId="3" fontId="0" fillId="0" borderId="0" xfId="0" applyNumberFormat="1" applyAlignment="1">
      <alignment horizontal="right" vertical="center"/>
    </xf>
    <xf numFmtId="2" fontId="0" fillId="0" borderId="0" xfId="0" applyNumberFormat="1" applyAlignment="1">
      <alignment horizontal="right" vertical="center"/>
    </xf>
    <xf numFmtId="3" fontId="0" fillId="0" borderId="0" xfId="0" applyNumberFormat="1" applyAlignment="1">
      <alignment horizontal="right"/>
    </xf>
    <xf numFmtId="3" fontId="0" fillId="0" borderId="69" xfId="0" applyNumberFormat="1" applyBorder="1" applyAlignment="1">
      <alignment horizontal="right"/>
    </xf>
    <xf numFmtId="0" fontId="6" fillId="0" borderId="0" xfId="0" applyFont="1" applyAlignment="1">
      <alignment horizontal="left" vertical="top"/>
    </xf>
    <xf numFmtId="3" fontId="0" fillId="0" borderId="0" xfId="0" applyNumberFormat="1" applyAlignment="1">
      <alignment vertical="top"/>
    </xf>
    <xf numFmtId="3" fontId="0" fillId="0" borderId="0" xfId="0" applyNumberFormat="1" applyAlignment="1">
      <alignment horizontal="center"/>
    </xf>
    <xf numFmtId="3" fontId="0" fillId="0" borderId="69" xfId="0" applyNumberFormat="1" applyBorder="1" applyAlignment="1">
      <alignment horizontal="center"/>
    </xf>
    <xf numFmtId="0" fontId="0" fillId="0" borderId="0" xfId="0" applyAlignment="1">
      <alignment vertical="top"/>
    </xf>
    <xf numFmtId="0" fontId="0" fillId="0" borderId="16" xfId="0" applyBorder="1"/>
    <xf numFmtId="0" fontId="0" fillId="0" borderId="1" xfId="0" applyBorder="1"/>
    <xf numFmtId="0" fontId="0" fillId="0" borderId="17" xfId="0" applyBorder="1"/>
    <xf numFmtId="0" fontId="0" fillId="0" borderId="71" xfId="0" applyBorder="1"/>
    <xf numFmtId="0" fontId="3" fillId="0" borderId="0" xfId="0" applyFont="1"/>
    <xf numFmtId="3" fontId="6" fillId="0" borderId="0" xfId="0" applyNumberFormat="1" applyFont="1"/>
    <xf numFmtId="0" fontId="3" fillId="0" borderId="69" xfId="0" applyFont="1" applyBorder="1"/>
    <xf numFmtId="9" fontId="0" fillId="0" borderId="70" xfId="0" applyNumberFormat="1" applyBorder="1" applyAlignment="1">
      <alignment horizontal="right" vertical="center"/>
    </xf>
    <xf numFmtId="0" fontId="0" fillId="0" borderId="69" xfId="0" applyBorder="1" applyAlignment="1">
      <alignment horizontal="center"/>
    </xf>
    <xf numFmtId="9" fontId="3" fillId="0" borderId="0" xfId="0" applyNumberFormat="1" applyFont="1" applyAlignment="1">
      <alignment horizontal="center"/>
    </xf>
    <xf numFmtId="3" fontId="3" fillId="0" borderId="0" xfId="0" applyNumberFormat="1" applyFont="1"/>
    <xf numFmtId="10" fontId="0" fillId="0" borderId="0" xfId="0" applyNumberFormat="1" applyAlignment="1">
      <alignment horizontal="center" vertical="center"/>
    </xf>
    <xf numFmtId="3" fontId="1" fillId="0" borderId="0" xfId="0" applyNumberFormat="1" applyFont="1" applyAlignment="1">
      <alignment shrinkToFit="1"/>
    </xf>
    <xf numFmtId="0" fontId="3" fillId="0" borderId="1" xfId="0" applyFont="1" applyBorder="1"/>
    <xf numFmtId="0" fontId="3" fillId="0" borderId="17" xfId="0" applyFont="1" applyBorder="1"/>
    <xf numFmtId="0" fontId="0" fillId="0" borderId="65" xfId="0" applyBorder="1"/>
    <xf numFmtId="3" fontId="0" fillId="0" borderId="0" xfId="0" applyNumberFormat="1" applyAlignment="1">
      <alignment shrinkToFit="1"/>
    </xf>
    <xf numFmtId="3" fontId="6" fillId="0" borderId="0" xfId="0" applyNumberFormat="1" applyFont="1" applyAlignment="1">
      <alignment horizontal="right"/>
    </xf>
    <xf numFmtId="0" fontId="6" fillId="0" borderId="1" xfId="0" applyFont="1" applyBorder="1"/>
    <xf numFmtId="3" fontId="0" fillId="0" borderId="1" xfId="0" applyNumberFormat="1" applyBorder="1"/>
    <xf numFmtId="0" fontId="6" fillId="0" borderId="0" xfId="0" applyFont="1" applyAlignment="1">
      <alignment horizontal="right" indent="1"/>
    </xf>
    <xf numFmtId="0" fontId="0" fillId="0" borderId="0" xfId="0" applyAlignment="1">
      <alignment horizontal="right" indent="1"/>
    </xf>
    <xf numFmtId="0" fontId="6" fillId="0" borderId="43" xfId="0" applyFont="1" applyBorder="1" applyAlignment="1">
      <alignment vertical="center"/>
    </xf>
    <xf numFmtId="0" fontId="6" fillId="0" borderId="43" xfId="0" applyFont="1" applyBorder="1"/>
    <xf numFmtId="0" fontId="6" fillId="0" borderId="43" xfId="0" applyFont="1" applyBorder="1" applyAlignment="1">
      <alignment horizontal="right" indent="1"/>
    </xf>
    <xf numFmtId="0" fontId="0" fillId="0" borderId="43" xfId="0" applyBorder="1" applyAlignment="1">
      <alignment horizontal="right" indent="1"/>
    </xf>
    <xf numFmtId="3" fontId="0" fillId="0" borderId="43" xfId="0" applyNumberFormat="1" applyBorder="1" applyAlignment="1">
      <alignment shrinkToFit="1"/>
    </xf>
    <xf numFmtId="165" fontId="107" fillId="2" borderId="56" xfId="44" applyFont="1" applyBorder="1" applyAlignment="1">
      <alignment vertical="center"/>
    </xf>
    <xf numFmtId="165" fontId="107" fillId="38" borderId="53" xfId="44" applyFont="1" applyFill="1" applyBorder="1" applyAlignment="1">
      <alignment vertical="center"/>
    </xf>
    <xf numFmtId="9" fontId="109" fillId="2" borderId="49" xfId="44" applyNumberFormat="1" applyFont="1" applyBorder="1" applyAlignment="1">
      <alignment horizontal="center" vertical="center"/>
    </xf>
    <xf numFmtId="9" fontId="109" fillId="2" borderId="48" xfId="44" applyNumberFormat="1" applyFont="1" applyBorder="1" applyAlignment="1">
      <alignment horizontal="center" vertical="center"/>
    </xf>
    <xf numFmtId="9" fontId="109" fillId="2" borderId="56" xfId="44" applyNumberFormat="1" applyFont="1" applyBorder="1" applyAlignment="1">
      <alignment horizontal="center" vertical="center"/>
    </xf>
    <xf numFmtId="165" fontId="110" fillId="39" borderId="21" xfId="44" applyFont="1" applyFill="1" applyBorder="1" applyAlignment="1">
      <alignment vertical="center"/>
    </xf>
    <xf numFmtId="37" fontId="97" fillId="38" borderId="21" xfId="44" applyNumberFormat="1" applyFont="1" applyFill="1" applyBorder="1" applyAlignment="1">
      <alignment horizontal="center" vertical="center"/>
    </xf>
    <xf numFmtId="164" fontId="110" fillId="39" borderId="21" xfId="44" applyNumberFormat="1" applyFont="1" applyFill="1" applyBorder="1" applyAlignment="1">
      <alignment horizontal="center" vertical="center"/>
    </xf>
    <xf numFmtId="165" fontId="110" fillId="2" borderId="21" xfId="44" applyFont="1" applyBorder="1" applyAlignment="1">
      <alignment vertical="center"/>
    </xf>
    <xf numFmtId="39" fontId="97" fillId="38" borderId="21" xfId="44" applyNumberFormat="1" applyFont="1" applyFill="1" applyBorder="1" applyAlignment="1">
      <alignment horizontal="center" vertical="center"/>
    </xf>
    <xf numFmtId="171" fontId="110" fillId="2" borderId="21" xfId="44" applyNumberFormat="1" applyFont="1" applyBorder="1" applyAlignment="1">
      <alignment horizontal="center" vertical="center"/>
    </xf>
    <xf numFmtId="165" fontId="98" fillId="2" borderId="0" xfId="44" applyFont="1" applyAlignment="1">
      <alignment horizontal="left"/>
    </xf>
    <xf numFmtId="165" fontId="97" fillId="2" borderId="0" xfId="44" applyFont="1" applyAlignment="1">
      <alignment horizontal="center"/>
    </xf>
    <xf numFmtId="165" fontId="111" fillId="2" borderId="0" xfId="44" applyFont="1" applyAlignment="1">
      <alignment horizontal="left"/>
    </xf>
    <xf numFmtId="8" fontId="112" fillId="2" borderId="0" xfId="44" applyNumberFormat="1" applyFont="1"/>
    <xf numFmtId="165" fontId="108" fillId="2" borderId="0" xfId="44" applyFont="1" applyAlignment="1">
      <alignment horizontal="center"/>
    </xf>
    <xf numFmtId="165" fontId="108" fillId="2" borderId="0" xfId="44" applyFont="1" applyAlignment="1">
      <alignment horizontal="right"/>
    </xf>
    <xf numFmtId="5" fontId="113" fillId="2" borderId="54" xfId="44" applyNumberFormat="1" applyFont="1" applyBorder="1" applyAlignment="1">
      <alignment vertical="center"/>
    </xf>
    <xf numFmtId="2" fontId="109" fillId="2" borderId="55" xfId="44" applyNumberFormat="1" applyFont="1" applyBorder="1" applyAlignment="1">
      <alignment horizontal="right" vertical="center"/>
    </xf>
    <xf numFmtId="5" fontId="108" fillId="2" borderId="57" xfId="44" applyNumberFormat="1" applyFont="1" applyBorder="1" applyAlignment="1">
      <alignment horizontal="center" vertical="center"/>
    </xf>
    <xf numFmtId="7" fontId="113" fillId="2" borderId="54" xfId="44" applyNumberFormat="1" applyFont="1" applyBorder="1" applyAlignment="1">
      <alignment horizontal="right" vertical="center"/>
    </xf>
    <xf numFmtId="37" fontId="109" fillId="2" borderId="55" xfId="44" applyNumberFormat="1" applyFont="1" applyBorder="1" applyAlignment="1">
      <alignment horizontal="right" vertical="center"/>
    </xf>
    <xf numFmtId="165" fontId="101" fillId="2" borderId="0" xfId="44" applyFont="1"/>
    <xf numFmtId="7" fontId="101" fillId="2" borderId="0" xfId="44" applyNumberFormat="1" applyFont="1"/>
    <xf numFmtId="165" fontId="98" fillId="2" borderId="0" xfId="44" applyFont="1" applyAlignment="1">
      <alignment horizontal="center"/>
    </xf>
    <xf numFmtId="165" fontId="107" fillId="2" borderId="55" xfId="44" applyFont="1" applyBorder="1" applyAlignment="1">
      <alignment horizontal="right"/>
    </xf>
    <xf numFmtId="5" fontId="113" fillId="2" borderId="58" xfId="44" applyNumberFormat="1" applyFont="1" applyBorder="1" applyAlignment="1">
      <alignment horizontal="center" vertical="center"/>
    </xf>
    <xf numFmtId="165" fontId="114" fillId="2" borderId="0" xfId="44" applyFont="1"/>
    <xf numFmtId="165" fontId="98" fillId="2" borderId="0" xfId="44" applyFont="1"/>
    <xf numFmtId="165" fontId="99" fillId="2" borderId="39" xfId="44" applyFont="1" applyBorder="1" applyAlignment="1">
      <alignment vertical="center"/>
    </xf>
    <xf numFmtId="1" fontId="99" fillId="2" borderId="23" xfId="44" quotePrefix="1" applyNumberFormat="1" applyFont="1" applyBorder="1" applyAlignment="1">
      <alignment horizontal="center" vertical="center"/>
    </xf>
    <xf numFmtId="165" fontId="100" fillId="2" borderId="0" xfId="44" applyFont="1" applyAlignment="1">
      <alignment horizontal="right" vertical="center"/>
    </xf>
    <xf numFmtId="173" fontId="97" fillId="2" borderId="0" xfId="44" applyNumberFormat="1" applyFont="1" applyAlignment="1">
      <alignment horizontal="center" vertical="center"/>
    </xf>
    <xf numFmtId="14" fontId="99" fillId="2" borderId="23" xfId="44" applyNumberFormat="1" applyFont="1" applyBorder="1" applyAlignment="1">
      <alignment horizontal="center" vertical="center"/>
    </xf>
    <xf numFmtId="173" fontId="101" fillId="2" borderId="0" xfId="44" applyNumberFormat="1" applyFont="1" applyAlignment="1">
      <alignment horizontal="center" vertical="center"/>
    </xf>
    <xf numFmtId="164" fontId="97" fillId="2" borderId="0" xfId="44" applyNumberFormat="1" applyFont="1" applyAlignment="1">
      <alignment horizontal="left" vertical="center"/>
    </xf>
    <xf numFmtId="174" fontId="99" fillId="2" borderId="47" xfId="44" applyNumberFormat="1" applyFont="1" applyBorder="1" applyAlignment="1">
      <alignment horizontal="center" vertical="center"/>
    </xf>
    <xf numFmtId="165" fontId="98" fillId="2" borderId="0" xfId="44" applyFont="1" applyAlignment="1">
      <alignment vertical="center"/>
    </xf>
    <xf numFmtId="165" fontId="102" fillId="2" borderId="0" xfId="44" applyFont="1" applyAlignment="1">
      <alignment horizontal="right" vertical="center"/>
    </xf>
    <xf numFmtId="165" fontId="103" fillId="2" borderId="0" xfId="44" applyFont="1" applyAlignment="1">
      <alignment vertical="center"/>
    </xf>
    <xf numFmtId="175" fontId="104" fillId="2" borderId="0" xfId="44" applyNumberFormat="1" applyFont="1" applyAlignment="1">
      <alignment horizontal="center" vertical="center"/>
    </xf>
    <xf numFmtId="165" fontId="103" fillId="2" borderId="37" xfId="44" applyFont="1" applyBorder="1"/>
    <xf numFmtId="165" fontId="107" fillId="2" borderId="35" xfId="44" applyFont="1" applyBorder="1"/>
    <xf numFmtId="165" fontId="108" fillId="2" borderId="20" xfId="44" applyFont="1" applyBorder="1" applyAlignment="1">
      <alignment vertical="center"/>
    </xf>
    <xf numFmtId="165" fontId="108" fillId="2" borderId="20" xfId="44" applyFont="1" applyBorder="1" applyAlignment="1">
      <alignment horizontal="center" vertical="center"/>
    </xf>
    <xf numFmtId="0" fontId="99" fillId="39" borderId="20" xfId="44" applyNumberFormat="1" applyFont="1" applyFill="1" applyBorder="1" applyAlignment="1">
      <alignment horizontal="center" vertical="center"/>
    </xf>
    <xf numFmtId="0" fontId="99" fillId="39" borderId="20" xfId="42" applyNumberFormat="1" applyFont="1" applyFill="1" applyBorder="1" applyAlignment="1">
      <alignment horizontal="center" vertical="center"/>
    </xf>
    <xf numFmtId="165" fontId="97" fillId="2" borderId="0" xfId="44" applyFont="1" applyAlignment="1">
      <alignment vertical="center" wrapText="1"/>
    </xf>
    <xf numFmtId="165" fontId="99" fillId="2" borderId="55" xfId="44" applyFont="1" applyBorder="1" applyAlignment="1">
      <alignment vertical="center" wrapText="1"/>
    </xf>
    <xf numFmtId="0" fontId="99" fillId="2" borderId="55" xfId="44" applyNumberFormat="1" applyFont="1" applyBorder="1" applyAlignment="1">
      <alignment horizontal="center" vertical="center" wrapText="1" shrinkToFit="1"/>
    </xf>
    <xf numFmtId="165" fontId="109" fillId="0" borderId="55" xfId="42" applyFont="1" applyFill="1" applyBorder="1" applyAlignment="1">
      <alignment horizontal="center" vertical="center" wrapText="1"/>
    </xf>
    <xf numFmtId="3" fontId="99" fillId="39" borderId="55" xfId="44" applyNumberFormat="1" applyFont="1" applyFill="1" applyBorder="1" applyAlignment="1">
      <alignment horizontal="center" vertical="center"/>
    </xf>
    <xf numFmtId="165" fontId="109" fillId="39" borderId="55" xfId="42" applyFont="1" applyFill="1" applyBorder="1" applyAlignment="1">
      <alignment horizontal="center" vertical="center"/>
    </xf>
    <xf numFmtId="0" fontId="99" fillId="2" borderId="55" xfId="44" applyNumberFormat="1" applyFont="1" applyBorder="1" applyAlignment="1">
      <alignment horizontal="center" vertical="center"/>
    </xf>
    <xf numFmtId="14" fontId="99" fillId="2" borderId="55" xfId="44" applyNumberFormat="1" applyFont="1" applyBorder="1" applyAlignment="1">
      <alignment horizontal="center" vertical="center"/>
    </xf>
    <xf numFmtId="14" fontId="99" fillId="39" borderId="55" xfId="44" applyNumberFormat="1" applyFont="1" applyFill="1" applyBorder="1" applyAlignment="1">
      <alignment horizontal="center" vertical="center"/>
    </xf>
    <xf numFmtId="167" fontId="99" fillId="39" borderId="55" xfId="42" applyNumberFormat="1" applyFont="1" applyFill="1" applyBorder="1" applyAlignment="1">
      <alignment horizontal="center" vertical="center"/>
    </xf>
    <xf numFmtId="164" fontId="99" fillId="2" borderId="55" xfId="44" applyNumberFormat="1" applyFont="1" applyBorder="1" applyAlignment="1">
      <alignment horizontal="center" vertical="center"/>
    </xf>
    <xf numFmtId="5" fontId="99" fillId="0" borderId="55" xfId="42" applyNumberFormat="1" applyFont="1" applyFill="1" applyBorder="1" applyAlignment="1">
      <alignment horizontal="center" vertical="center"/>
    </xf>
    <xf numFmtId="0" fontId="99" fillId="39" borderId="55" xfId="44" applyNumberFormat="1" applyFont="1" applyFill="1" applyBorder="1" applyAlignment="1">
      <alignment horizontal="center" vertical="center"/>
    </xf>
    <xf numFmtId="5" fontId="103" fillId="39" borderId="55" xfId="44" applyNumberFormat="1" applyFont="1" applyFill="1" applyBorder="1" applyAlignment="1">
      <alignment horizontal="center" vertical="center"/>
    </xf>
    <xf numFmtId="0" fontId="103" fillId="39" borderId="55" xfId="44" applyNumberFormat="1" applyFont="1" applyFill="1" applyBorder="1" applyAlignment="1">
      <alignment horizontal="center" vertical="center"/>
    </xf>
    <xf numFmtId="39" fontId="99" fillId="2" borderId="55" xfId="44" applyNumberFormat="1" applyFont="1" applyBorder="1" applyAlignment="1">
      <alignment horizontal="center" vertical="center"/>
    </xf>
    <xf numFmtId="39" fontId="99" fillId="0" borderId="55" xfId="42" applyNumberFormat="1" applyFont="1" applyFill="1" applyBorder="1" applyAlignment="1">
      <alignment horizontal="center" vertical="center"/>
    </xf>
    <xf numFmtId="2" fontId="99" fillId="0" borderId="55" xfId="42" applyNumberFormat="1" applyFont="1" applyFill="1" applyBorder="1" applyAlignment="1">
      <alignment horizontal="center" vertical="center"/>
    </xf>
    <xf numFmtId="37" fontId="99" fillId="39" borderId="55" xfId="44" applyNumberFormat="1" applyFont="1" applyFill="1" applyBorder="1" applyAlignment="1">
      <alignment horizontal="center" vertical="center"/>
    </xf>
    <xf numFmtId="165" fontId="99" fillId="2" borderId="56" xfId="44" applyFont="1" applyBorder="1" applyAlignment="1">
      <alignment vertical="center"/>
    </xf>
    <xf numFmtId="37" fontId="99" fillId="2" borderId="56" xfId="44" applyNumberFormat="1" applyFont="1" applyBorder="1" applyAlignment="1">
      <alignment horizontal="center" vertical="center"/>
    </xf>
    <xf numFmtId="0" fontId="103" fillId="2" borderId="56" xfId="44" applyNumberFormat="1" applyFont="1" applyBorder="1" applyAlignment="1">
      <alignment horizontal="center" vertical="center"/>
    </xf>
    <xf numFmtId="165" fontId="109" fillId="39" borderId="20" xfId="44" applyFont="1" applyFill="1" applyBorder="1" applyAlignment="1">
      <alignment vertical="center"/>
    </xf>
    <xf numFmtId="171" fontId="109" fillId="39" borderId="0" xfId="44" applyNumberFormat="1" applyFont="1" applyFill="1" applyAlignment="1">
      <alignment horizontal="center" vertical="center"/>
    </xf>
    <xf numFmtId="171" fontId="109" fillId="39" borderId="20" xfId="44" applyNumberFormat="1" applyFont="1" applyFill="1" applyBorder="1" applyAlignment="1">
      <alignment horizontal="center" vertical="center"/>
    </xf>
    <xf numFmtId="165" fontId="97" fillId="38" borderId="55" xfId="44" applyFont="1" applyFill="1" applyBorder="1" applyAlignment="1">
      <alignment vertical="center"/>
    </xf>
    <xf numFmtId="165" fontId="109" fillId="2" borderId="56" xfId="44" applyFont="1" applyBorder="1" applyAlignment="1">
      <alignment vertical="center"/>
    </xf>
    <xf numFmtId="37" fontId="101" fillId="38" borderId="56" xfId="44" applyNumberFormat="1" applyFont="1" applyFill="1" applyBorder="1" applyAlignment="1">
      <alignment horizontal="center" vertical="center"/>
    </xf>
    <xf numFmtId="7" fontId="109" fillId="2" borderId="56" xfId="44" applyNumberFormat="1" applyFont="1" applyBorder="1" applyAlignment="1">
      <alignment horizontal="center" vertical="center"/>
    </xf>
    <xf numFmtId="9" fontId="99" fillId="0" borderId="55" xfId="44" applyNumberFormat="1" applyFont="1" applyFill="1" applyBorder="1" applyAlignment="1" applyProtection="1">
      <alignment horizontal="center" vertical="center"/>
      <protection locked="0"/>
    </xf>
    <xf numFmtId="168" fontId="70" fillId="0" borderId="4" xfId="42" applyNumberFormat="1" applyFont="1" applyFill="1" applyBorder="1" applyAlignment="1" applyProtection="1">
      <alignment horizontal="center" vertical="center"/>
      <protection locked="0"/>
    </xf>
    <xf numFmtId="168" fontId="70" fillId="39" borderId="4" xfId="42" applyNumberFormat="1" applyFont="1" applyFill="1" applyBorder="1" applyAlignment="1" applyProtection="1">
      <alignment horizontal="center" vertical="center"/>
      <protection locked="0"/>
    </xf>
    <xf numFmtId="0" fontId="32" fillId="2" borderId="55" xfId="42" applyNumberFormat="1" applyFont="1" applyBorder="1" applyAlignment="1" applyProtection="1">
      <alignment horizontal="left" vertical="center"/>
      <protection locked="0"/>
    </xf>
    <xf numFmtId="0" fontId="141" fillId="0" borderId="0" xfId="0" applyFont="1" applyAlignment="1">
      <alignment horizontal="right" vertical="top"/>
    </xf>
    <xf numFmtId="0" fontId="1" fillId="0" borderId="55" xfId="0" applyFont="1" applyBorder="1" applyAlignment="1" applyProtection="1">
      <alignment vertical="top" wrapText="1"/>
      <protection locked="0"/>
      <extLst>
        <ext xmlns:xfpb="http://schemas.microsoft.com/office/spreadsheetml/2022/featurepropertybag" uri="{C7286773-470A-42A8-94C5-96B5CB345126}">
          <xfpb:xfComplement i="0"/>
        </ext>
      </extLst>
    </xf>
    <xf numFmtId="0" fontId="1" fillId="41" borderId="55" xfId="0" applyFont="1" applyFill="1" applyBorder="1" applyAlignment="1" applyProtection="1">
      <alignment horizontal="center" vertical="top" wrapText="1"/>
      <protection locked="0"/>
    </xf>
    <xf numFmtId="0" fontId="1" fillId="41" borderId="55" xfId="0" applyFont="1" applyFill="1" applyBorder="1" applyAlignment="1" applyProtection="1">
      <alignment horizontal="right" vertical="center"/>
      <protection locked="0"/>
    </xf>
    <xf numFmtId="0" fontId="1" fillId="41" borderId="55" xfId="0" applyFont="1" applyFill="1" applyBorder="1" applyAlignment="1" applyProtection="1">
      <alignment horizontal="right" vertical="center" wrapText="1"/>
      <protection locked="0"/>
    </xf>
    <xf numFmtId="0" fontId="6" fillId="0" borderId="55" xfId="0" applyFont="1" applyBorder="1" applyAlignment="1" applyProtection="1">
      <alignment horizontal="center" vertical="center"/>
      <protection locked="0"/>
    </xf>
    <xf numFmtId="0" fontId="6" fillId="0" borderId="55" xfId="0" applyFont="1" applyBorder="1" applyAlignment="1" applyProtection="1">
      <alignment horizontal="center" vertical="center" wrapText="1"/>
      <protection locked="0"/>
    </xf>
    <xf numFmtId="14" fontId="141" fillId="0" borderId="0" xfId="0" applyNumberFormat="1" applyFont="1" applyAlignment="1">
      <alignment horizontal="right"/>
    </xf>
    <xf numFmtId="0" fontId="0" fillId="8" borderId="74" xfId="0" applyFill="1" applyBorder="1" applyAlignment="1">
      <alignment horizontal="left" vertical="top" wrapText="1"/>
    </xf>
    <xf numFmtId="0" fontId="82" fillId="0" borderId="0" xfId="0" applyFont="1" applyAlignment="1">
      <alignment horizontal="right" vertical="top"/>
    </xf>
    <xf numFmtId="0" fontId="0" fillId="8" borderId="80" xfId="0" applyFill="1" applyBorder="1" applyAlignment="1">
      <alignment horizontal="left" vertical="top" wrapText="1"/>
    </xf>
    <xf numFmtId="0" fontId="1" fillId="41" borderId="56" xfId="0" applyFont="1" applyFill="1" applyBorder="1" applyAlignment="1" applyProtection="1">
      <alignment horizontal="right" vertical="center"/>
      <protection locked="0"/>
    </xf>
    <xf numFmtId="14" fontId="6" fillId="0" borderId="56" xfId="0" applyNumberFormat="1" applyFont="1" applyBorder="1" applyAlignment="1" applyProtection="1">
      <alignment horizontal="center" vertical="center"/>
      <protection locked="0"/>
    </xf>
    <xf numFmtId="0" fontId="1" fillId="0" borderId="0" xfId="0" applyFont="1" applyAlignment="1" applyProtection="1">
      <alignment vertical="center"/>
      <protection locked="0"/>
    </xf>
    <xf numFmtId="0" fontId="1" fillId="0" borderId="0" xfId="0" applyFont="1" applyAlignment="1" applyProtection="1">
      <alignment vertical="center" wrapText="1"/>
      <protection locked="0"/>
    </xf>
    <xf numFmtId="178" fontId="6" fillId="0" borderId="70" xfId="0" applyNumberFormat="1" applyFont="1" applyBorder="1" applyAlignment="1" applyProtection="1">
      <alignment horizontal="center" vertical="center"/>
      <protection locked="0"/>
    </xf>
    <xf numFmtId="164" fontId="0" fillId="0" borderId="55" xfId="0" applyNumberFormat="1" applyBorder="1" applyAlignment="1" applyProtection="1">
      <alignment horizontal="center" vertical="top" wrapText="1"/>
      <protection locked="0"/>
    </xf>
    <xf numFmtId="164" fontId="6" fillId="0" borderId="55" xfId="0" applyNumberFormat="1" applyFont="1" applyBorder="1" applyAlignment="1" applyProtection="1">
      <alignment horizontal="center" vertical="top" wrapText="1"/>
      <protection locked="0"/>
    </xf>
    <xf numFmtId="164" fontId="1" fillId="0" borderId="0" xfId="0" applyNumberFormat="1" applyFont="1" applyAlignment="1" applyProtection="1">
      <alignment vertical="top" wrapText="1"/>
      <protection locked="0"/>
    </xf>
    <xf numFmtId="164" fontId="0" fillId="0" borderId="0" xfId="0" applyNumberFormat="1" applyAlignment="1" applyProtection="1">
      <alignment vertical="top" wrapText="1"/>
      <protection locked="0"/>
    </xf>
    <xf numFmtId="0" fontId="0" fillId="0" borderId="0" xfId="0" applyAlignment="1" applyProtection="1">
      <alignment vertical="top" wrapText="1"/>
      <protection locked="0"/>
    </xf>
    <xf numFmtId="14" fontId="0" fillId="0" borderId="0" xfId="0" applyNumberFormat="1" applyAlignment="1" applyProtection="1">
      <alignment vertical="top" wrapText="1"/>
      <protection locked="0"/>
    </xf>
    <xf numFmtId="0" fontId="1" fillId="43" borderId="55" xfId="0" applyFont="1" applyFill="1" applyBorder="1" applyAlignment="1" applyProtection="1">
      <alignment horizontal="center" vertical="top" wrapText="1"/>
      <protection locked="0"/>
    </xf>
    <xf numFmtId="14" fontId="1" fillId="43" borderId="55" xfId="0" applyNumberFormat="1" applyFont="1" applyFill="1" applyBorder="1" applyAlignment="1" applyProtection="1">
      <alignment horizontal="center" vertical="top" wrapText="1"/>
      <protection locked="0"/>
    </xf>
    <xf numFmtId="164" fontId="1" fillId="43" borderId="55" xfId="0" applyNumberFormat="1" applyFont="1" applyFill="1" applyBorder="1" applyAlignment="1" applyProtection="1">
      <alignment horizontal="center" vertical="top" wrapText="1"/>
      <protection locked="0"/>
    </xf>
    <xf numFmtId="0" fontId="0" fillId="0" borderId="55" xfId="0" applyBorder="1" applyAlignment="1" applyProtection="1">
      <alignment horizontal="center" vertical="top" wrapText="1"/>
      <protection locked="0"/>
    </xf>
    <xf numFmtId="14" fontId="6" fillId="0" borderId="55" xfId="0" applyNumberFormat="1" applyFont="1" applyBorder="1" applyAlignment="1" applyProtection="1">
      <alignment horizontal="center" vertical="center"/>
      <protection locked="0"/>
    </xf>
    <xf numFmtId="0" fontId="145" fillId="0" borderId="0" xfId="48" applyFont="1"/>
    <xf numFmtId="0" fontId="144" fillId="0" borderId="0" xfId="48"/>
    <xf numFmtId="0" fontId="144" fillId="0" borderId="79" xfId="48" applyBorder="1" applyAlignment="1" applyProtection="1">
      <alignment horizontal="center"/>
      <protection locked="0"/>
    </xf>
    <xf numFmtId="0" fontId="146" fillId="0" borderId="0" xfId="48" applyFont="1" applyAlignment="1">
      <alignment horizontal="center" vertical="center"/>
    </xf>
    <xf numFmtId="14" fontId="144" fillId="0" borderId="18" xfId="48" applyNumberFormat="1" applyBorder="1" applyProtection="1">
      <protection locked="0"/>
    </xf>
    <xf numFmtId="0" fontId="144" fillId="0" borderId="0" xfId="48" applyAlignment="1">
      <alignment horizontal="center"/>
    </xf>
    <xf numFmtId="0" fontId="147" fillId="0" borderId="0" xfId="48" applyFont="1" applyAlignment="1">
      <alignment horizontal="center"/>
    </xf>
    <xf numFmtId="0" fontId="144" fillId="0" borderId="83" xfId="48" applyBorder="1"/>
    <xf numFmtId="0" fontId="144" fillId="0" borderId="84" xfId="48" applyBorder="1"/>
    <xf numFmtId="0" fontId="144" fillId="0" borderId="87" xfId="48" applyBorder="1"/>
    <xf numFmtId="0" fontId="148" fillId="0" borderId="0" xfId="48" applyFont="1" applyAlignment="1">
      <alignment horizontal="center"/>
    </xf>
    <xf numFmtId="0" fontId="144" fillId="44" borderId="0" xfId="48" applyFill="1" applyAlignment="1">
      <alignment horizontal="center"/>
    </xf>
    <xf numFmtId="0" fontId="144" fillId="44" borderId="0" xfId="48" applyFill="1"/>
    <xf numFmtId="0" fontId="149" fillId="0" borderId="88" xfId="48" applyFont="1" applyBorder="1"/>
    <xf numFmtId="0" fontId="144" fillId="0" borderId="89" xfId="48" applyBorder="1" applyAlignment="1">
      <alignment horizontal="center"/>
    </xf>
    <xf numFmtId="0" fontId="150" fillId="0" borderId="0" xfId="48" applyFont="1" applyAlignment="1">
      <alignment horizontal="center" vertical="top"/>
    </xf>
    <xf numFmtId="0" fontId="144" fillId="0" borderId="90" xfId="48" applyBorder="1" applyAlignment="1" applyProtection="1">
      <alignment horizontal="center"/>
      <protection locked="0"/>
    </xf>
    <xf numFmtId="0" fontId="151" fillId="0" borderId="0" xfId="48" applyFont="1"/>
    <xf numFmtId="3" fontId="144" fillId="0" borderId="79" xfId="48" applyNumberFormat="1" applyBorder="1" applyAlignment="1" applyProtection="1">
      <alignment horizontal="center"/>
      <protection locked="0"/>
    </xf>
    <xf numFmtId="3" fontId="144" fillId="0" borderId="91" xfId="48" applyNumberFormat="1" applyBorder="1"/>
    <xf numFmtId="9" fontId="144" fillId="0" borderId="1" xfId="48" applyNumberFormat="1" applyBorder="1" applyAlignment="1" applyProtection="1">
      <alignment horizontal="center"/>
      <protection locked="0"/>
    </xf>
    <xf numFmtId="14" fontId="150" fillId="0" borderId="1" xfId="48" applyNumberFormat="1" applyFont="1" applyBorder="1" applyAlignment="1" applyProtection="1">
      <alignment horizontal="center" shrinkToFit="1"/>
      <protection locked="0"/>
    </xf>
    <xf numFmtId="3" fontId="144" fillId="0" borderId="1" xfId="48" applyNumberFormat="1" applyBorder="1" applyAlignment="1" applyProtection="1">
      <alignment horizontal="center"/>
      <protection locked="0"/>
    </xf>
    <xf numFmtId="164" fontId="144" fillId="0" borderId="1" xfId="48" applyNumberFormat="1" applyBorder="1" applyAlignment="1" applyProtection="1">
      <alignment horizontal="center"/>
      <protection locked="0"/>
    </xf>
    <xf numFmtId="167" fontId="144" fillId="0" borderId="1" xfId="48" applyNumberFormat="1" applyBorder="1" applyAlignment="1" applyProtection="1">
      <alignment horizontal="center"/>
      <protection locked="0"/>
    </xf>
    <xf numFmtId="9" fontId="144" fillId="45" borderId="1" xfId="48" applyNumberFormat="1" applyFill="1" applyBorder="1" applyAlignment="1" applyProtection="1">
      <alignment horizontal="center"/>
      <protection locked="0"/>
    </xf>
    <xf numFmtId="164" fontId="144" fillId="0" borderId="5" xfId="48" applyNumberFormat="1" applyBorder="1" applyAlignment="1" applyProtection="1">
      <alignment horizontal="center"/>
      <protection locked="0"/>
    </xf>
    <xf numFmtId="164" fontId="144" fillId="0" borderId="5" xfId="48" applyNumberFormat="1" applyBorder="1" applyAlignment="1">
      <alignment horizontal="center"/>
    </xf>
    <xf numFmtId="0" fontId="144" fillId="0" borderId="92" xfId="48" applyBorder="1" applyAlignment="1">
      <alignment horizontal="center"/>
    </xf>
    <xf numFmtId="0" fontId="144" fillId="0" borderId="1" xfId="48" applyBorder="1" applyAlignment="1" applyProtection="1">
      <alignment horizontal="center"/>
      <protection locked="0"/>
    </xf>
    <xf numFmtId="3" fontId="144" fillId="0" borderId="18" xfId="48" applyNumberFormat="1" applyBorder="1" applyAlignment="1" applyProtection="1">
      <alignment horizontal="center"/>
      <protection locked="0"/>
    </xf>
    <xf numFmtId="3" fontId="144" fillId="0" borderId="1" xfId="48" applyNumberFormat="1" applyBorder="1" applyAlignment="1">
      <alignment horizontal="center"/>
    </xf>
    <xf numFmtId="3" fontId="144" fillId="44" borderId="1" xfId="48" applyNumberFormat="1" applyFill="1" applyBorder="1" applyAlignment="1">
      <alignment horizontal="center"/>
    </xf>
    <xf numFmtId="0" fontId="151" fillId="0" borderId="0" xfId="48" applyFont="1" applyProtection="1">
      <protection locked="0"/>
    </xf>
    <xf numFmtId="0" fontId="144" fillId="0" borderId="0" xfId="48" applyProtection="1">
      <protection locked="0"/>
    </xf>
    <xf numFmtId="0" fontId="144" fillId="0" borderId="88" xfId="48" applyBorder="1" applyAlignment="1">
      <alignment horizontal="center"/>
    </xf>
    <xf numFmtId="0" fontId="149" fillId="0" borderId="0" xfId="48" applyFont="1"/>
    <xf numFmtId="3" fontId="144" fillId="0" borderId="89" xfId="48" applyNumberFormat="1" applyBorder="1"/>
    <xf numFmtId="0" fontId="152" fillId="0" borderId="88" xfId="48" applyFont="1" applyBorder="1"/>
    <xf numFmtId="0" fontId="152" fillId="0" borderId="0" xfId="48" applyFont="1"/>
    <xf numFmtId="0" fontId="144" fillId="0" borderId="89" xfId="48" applyBorder="1"/>
    <xf numFmtId="0" fontId="144" fillId="0" borderId="18" xfId="48" applyBorder="1" applyAlignment="1">
      <alignment horizontal="center"/>
    </xf>
    <xf numFmtId="0" fontId="144" fillId="0" borderId="88" xfId="48" applyBorder="1"/>
    <xf numFmtId="181" fontId="144" fillId="0" borderId="89" xfId="48" applyNumberFormat="1" applyBorder="1" applyAlignment="1">
      <alignment horizontal="left"/>
    </xf>
    <xf numFmtId="182" fontId="144" fillId="0" borderId="1" xfId="48" applyNumberFormat="1" applyBorder="1" applyAlignment="1">
      <alignment horizontal="center"/>
    </xf>
    <xf numFmtId="0" fontId="153" fillId="0" borderId="88" xfId="48" applyFont="1" applyBorder="1"/>
    <xf numFmtId="3" fontId="148" fillId="0" borderId="89" xfId="48" applyNumberFormat="1" applyFont="1" applyBorder="1"/>
    <xf numFmtId="0" fontId="149" fillId="0" borderId="18" xfId="48" applyFont="1" applyBorder="1" applyAlignment="1" applyProtection="1">
      <alignment horizontal="center"/>
      <protection locked="0"/>
    </xf>
    <xf numFmtId="9" fontId="144" fillId="0" borderId="18" xfId="48" applyNumberFormat="1" applyBorder="1" applyAlignment="1" applyProtection="1">
      <alignment horizontal="center"/>
      <protection locked="0"/>
    </xf>
    <xf numFmtId="10" fontId="144" fillId="0" borderId="1" xfId="48" applyNumberFormat="1" applyBorder="1" applyProtection="1">
      <protection locked="0"/>
    </xf>
    <xf numFmtId="0" fontId="144" fillId="0" borderId="18" xfId="48" applyBorder="1" applyAlignment="1" applyProtection="1">
      <alignment horizontal="center"/>
      <protection locked="0"/>
    </xf>
    <xf numFmtId="10" fontId="144" fillId="0" borderId="18" xfId="48" applyNumberFormat="1" applyBorder="1" applyAlignment="1" applyProtection="1">
      <alignment horizontal="center"/>
      <protection locked="0"/>
    </xf>
    <xf numFmtId="3" fontId="144" fillId="0" borderId="91" xfId="48" applyNumberFormat="1" applyBorder="1" applyProtection="1">
      <protection locked="0"/>
    </xf>
    <xf numFmtId="0" fontId="151" fillId="0" borderId="87" xfId="48" applyFont="1" applyBorder="1"/>
    <xf numFmtId="0" fontId="144" fillId="0" borderId="0" xfId="48" applyAlignment="1">
      <alignment vertical="top"/>
    </xf>
    <xf numFmtId="9" fontId="144" fillId="0" borderId="1" xfId="48" applyNumberFormat="1" applyBorder="1" applyAlignment="1">
      <alignment horizontal="center"/>
    </xf>
    <xf numFmtId="0" fontId="150" fillId="0" borderId="0" xfId="48" applyFont="1" applyAlignment="1">
      <alignment vertical="center"/>
    </xf>
    <xf numFmtId="0" fontId="144" fillId="0" borderId="0" xfId="48" applyAlignment="1">
      <alignment vertical="center"/>
    </xf>
    <xf numFmtId="164" fontId="150" fillId="0" borderId="0" xfId="48" applyNumberFormat="1" applyFont="1" applyAlignment="1">
      <alignment vertical="center"/>
    </xf>
    <xf numFmtId="0" fontId="148" fillId="0" borderId="87" xfId="48" applyFont="1" applyBorder="1"/>
    <xf numFmtId="0" fontId="144" fillId="0" borderId="0" xfId="48" applyAlignment="1">
      <alignment horizontal="right"/>
    </xf>
    <xf numFmtId="3" fontId="154" fillId="0" borderId="1" xfId="48" applyNumberFormat="1" applyFont="1" applyBorder="1" applyAlignment="1" applyProtection="1">
      <alignment horizontal="center"/>
      <protection locked="0"/>
    </xf>
    <xf numFmtId="0" fontId="144" fillId="0" borderId="1" xfId="48" applyBorder="1" applyAlignment="1">
      <alignment horizontal="center"/>
    </xf>
    <xf numFmtId="0" fontId="144" fillId="0" borderId="0" xfId="48" quotePrefix="1" applyAlignment="1">
      <alignment horizontal="center"/>
    </xf>
    <xf numFmtId="0" fontId="148" fillId="0" borderId="88" xfId="48" applyFont="1" applyBorder="1"/>
    <xf numFmtId="0" fontId="148" fillId="0" borderId="0" xfId="48" applyFont="1"/>
    <xf numFmtId="0" fontId="148" fillId="0" borderId="88" xfId="48" applyFont="1" applyBorder="1" applyAlignment="1">
      <alignment horizontal="center"/>
    </xf>
    <xf numFmtId="0" fontId="148" fillId="0" borderId="0" xfId="48" quotePrefix="1" applyFont="1" applyAlignment="1">
      <alignment horizontal="center"/>
    </xf>
    <xf numFmtId="0" fontId="153" fillId="0" borderId="93" xfId="48" applyFont="1" applyBorder="1"/>
    <xf numFmtId="0" fontId="144" fillId="0" borderId="2" xfId="48" applyBorder="1"/>
    <xf numFmtId="0" fontId="144" fillId="0" borderId="2" xfId="48" applyBorder="1" applyAlignment="1">
      <alignment horizontal="left"/>
    </xf>
    <xf numFmtId="0" fontId="144" fillId="0" borderId="2" xfId="48" applyBorder="1" applyAlignment="1">
      <alignment horizontal="center"/>
    </xf>
    <xf numFmtId="0" fontId="144" fillId="0" borderId="94" xfId="48" applyBorder="1"/>
    <xf numFmtId="10" fontId="144" fillId="0" borderId="90" xfId="48" applyNumberFormat="1" applyBorder="1" applyAlignment="1" applyProtection="1">
      <alignment horizontal="center"/>
      <protection locked="0"/>
    </xf>
    <xf numFmtId="10" fontId="144" fillId="0" borderId="1" xfId="48" applyNumberFormat="1" applyBorder="1" applyAlignment="1" applyProtection="1">
      <alignment horizontal="center"/>
      <protection locked="0"/>
    </xf>
    <xf numFmtId="10" fontId="144" fillId="0" borderId="91" xfId="48" applyNumberFormat="1" applyBorder="1"/>
    <xf numFmtId="0" fontId="148" fillId="44" borderId="87" xfId="48" applyFont="1" applyFill="1" applyBorder="1"/>
    <xf numFmtId="0" fontId="145" fillId="0" borderId="88" xfId="48" applyFont="1" applyBorder="1"/>
    <xf numFmtId="0" fontId="148" fillId="0" borderId="0" xfId="48" quotePrefix="1" applyFont="1"/>
    <xf numFmtId="0" fontId="144" fillId="0" borderId="88" xfId="48" applyBorder="1" applyAlignment="1">
      <alignment horizontal="right"/>
    </xf>
    <xf numFmtId="3" fontId="155" fillId="0" borderId="97" xfId="48" applyNumberFormat="1" applyFont="1" applyBorder="1" applyProtection="1">
      <protection locked="0"/>
    </xf>
    <xf numFmtId="3" fontId="144" fillId="0" borderId="97" xfId="48" applyNumberFormat="1" applyBorder="1" applyProtection="1">
      <protection locked="0"/>
    </xf>
    <xf numFmtId="0" fontId="148" fillId="44" borderId="98" xfId="48" applyFont="1" applyFill="1" applyBorder="1" applyAlignment="1">
      <alignment horizontal="left"/>
    </xf>
    <xf numFmtId="0" fontId="148" fillId="44" borderId="81" xfId="48" applyFont="1" applyFill="1" applyBorder="1" applyAlignment="1">
      <alignment horizontal="left"/>
    </xf>
    <xf numFmtId="3" fontId="153" fillId="0" borderId="89" xfId="48" applyNumberFormat="1" applyFont="1" applyBorder="1"/>
    <xf numFmtId="164" fontId="148" fillId="0" borderId="0" xfId="48" applyNumberFormat="1" applyFont="1" applyAlignment="1">
      <alignment horizontal="center"/>
    </xf>
    <xf numFmtId="0" fontId="144" fillId="0" borderId="99" xfId="48" applyBorder="1"/>
    <xf numFmtId="0" fontId="144" fillId="0" borderId="5" xfId="48" applyBorder="1"/>
    <xf numFmtId="3" fontId="144" fillId="0" borderId="100" xfId="48" applyNumberFormat="1" applyBorder="1"/>
    <xf numFmtId="0" fontId="151" fillId="0" borderId="88" xfId="48" applyFont="1" applyBorder="1"/>
    <xf numFmtId="3" fontId="159" fillId="0" borderId="91" xfId="48" applyNumberFormat="1" applyFont="1" applyBorder="1"/>
    <xf numFmtId="0" fontId="144" fillId="0" borderId="81" xfId="48" applyBorder="1" applyProtection="1">
      <protection locked="0"/>
    </xf>
    <xf numFmtId="0" fontId="151" fillId="0" borderId="0" xfId="48" applyFont="1" applyAlignment="1">
      <alignment horizontal="right"/>
    </xf>
    <xf numFmtId="2" fontId="144" fillId="0" borderId="1" xfId="48" applyNumberFormat="1" applyBorder="1" applyProtection="1">
      <protection locked="0"/>
    </xf>
    <xf numFmtId="0" fontId="144" fillId="0" borderId="103" xfId="48" applyBorder="1"/>
    <xf numFmtId="0" fontId="144" fillId="0" borderId="104" xfId="48" applyBorder="1"/>
    <xf numFmtId="0" fontId="144" fillId="0" borderId="105" xfId="48" applyBorder="1"/>
    <xf numFmtId="184" fontId="144" fillId="0" borderId="1" xfId="48" applyNumberFormat="1" applyBorder="1" applyProtection="1">
      <protection locked="0"/>
    </xf>
    <xf numFmtId="3" fontId="145" fillId="0" borderId="91" xfId="48" applyNumberFormat="1" applyFont="1" applyBorder="1"/>
    <xf numFmtId="0" fontId="153" fillId="0" borderId="0" xfId="48" applyFont="1"/>
    <xf numFmtId="0" fontId="164" fillId="0" borderId="106" xfId="48" applyFont="1" applyBorder="1" applyAlignment="1">
      <alignment horizontal="left"/>
    </xf>
    <xf numFmtId="3" fontId="153" fillId="0" borderId="0" xfId="48" applyNumberFormat="1" applyFont="1" applyProtection="1">
      <protection locked="0"/>
    </xf>
    <xf numFmtId="3" fontId="159" fillId="0" borderId="97" xfId="48" applyNumberFormat="1" applyFont="1" applyBorder="1"/>
    <xf numFmtId="0" fontId="144" fillId="0" borderId="110" xfId="48" applyBorder="1" applyAlignment="1">
      <alignment horizontal="center"/>
    </xf>
    <xf numFmtId="0" fontId="144" fillId="0" borderId="111" xfId="48" applyBorder="1" applyAlignment="1">
      <alignment horizontal="center"/>
    </xf>
    <xf numFmtId="0" fontId="144" fillId="0" borderId="112" xfId="48" applyBorder="1" applyAlignment="1">
      <alignment horizontal="center"/>
    </xf>
    <xf numFmtId="0" fontId="144" fillId="0" borderId="110" xfId="48" applyBorder="1"/>
    <xf numFmtId="0" fontId="144" fillId="0" borderId="113" xfId="48" applyBorder="1"/>
    <xf numFmtId="0" fontId="148" fillId="0" borderId="110" xfId="48" applyFont="1" applyBorder="1"/>
    <xf numFmtId="185" fontId="159" fillId="0" borderId="114" xfId="48" applyNumberFormat="1" applyFont="1" applyBorder="1"/>
    <xf numFmtId="3" fontId="144" fillId="0" borderId="0" xfId="48" applyNumberFormat="1"/>
    <xf numFmtId="0" fontId="144" fillId="0" borderId="0" xfId="48" applyAlignment="1" applyProtection="1">
      <alignment horizontal="center"/>
      <protection locked="0"/>
    </xf>
    <xf numFmtId="1" fontId="144" fillId="0" borderId="1" xfId="48" applyNumberFormat="1" applyBorder="1" applyAlignment="1" applyProtection="1">
      <alignment horizontal="center"/>
      <protection locked="0"/>
    </xf>
    <xf numFmtId="2" fontId="144" fillId="0" borderId="1" xfId="48" applyNumberFormat="1" applyBorder="1" applyAlignment="1" applyProtection="1">
      <alignment horizontal="center"/>
      <protection locked="0"/>
    </xf>
    <xf numFmtId="0" fontId="150" fillId="0" borderId="0" xfId="48" applyFont="1" applyAlignment="1" applyProtection="1">
      <alignment horizontal="center" vertical="top"/>
      <protection locked="0"/>
    </xf>
    <xf numFmtId="0" fontId="150" fillId="0" borderId="1" xfId="48" applyFont="1" applyBorder="1" applyAlignment="1" applyProtection="1">
      <alignment horizontal="center" shrinkToFit="1"/>
      <protection locked="0"/>
    </xf>
    <xf numFmtId="0" fontId="4" fillId="0" borderId="0" xfId="0" applyFont="1" applyAlignment="1">
      <alignment horizontal="left"/>
    </xf>
    <xf numFmtId="186" fontId="136" fillId="0" borderId="70" xfId="0" applyNumberFormat="1" applyFont="1" applyBorder="1" applyAlignment="1">
      <alignment horizontal="left" vertical="center"/>
    </xf>
    <xf numFmtId="186" fontId="42" fillId="39" borderId="4" xfId="42" applyNumberFormat="1" applyFont="1" applyFill="1" applyBorder="1" applyAlignment="1">
      <alignment horizontal="center" vertical="center"/>
    </xf>
    <xf numFmtId="186" fontId="42" fillId="39" borderId="4" xfId="42" applyNumberFormat="1" applyFont="1" applyFill="1" applyBorder="1" applyAlignment="1" applyProtection="1">
      <alignment horizontal="center" vertical="center"/>
      <protection locked="0"/>
    </xf>
    <xf numFmtId="14" fontId="4" fillId="0" borderId="0" xfId="0" applyNumberFormat="1" applyFont="1" applyAlignment="1">
      <alignment horizontal="left"/>
    </xf>
    <xf numFmtId="0" fontId="165" fillId="0" borderId="0" xfId="0" applyFont="1"/>
    <xf numFmtId="0" fontId="4" fillId="0" borderId="0" xfId="0" applyFont="1" applyAlignment="1">
      <alignment horizontal="right"/>
    </xf>
    <xf numFmtId="3" fontId="4" fillId="0" borderId="0" xfId="0" applyNumberFormat="1" applyFont="1" applyAlignment="1">
      <alignment horizontal="left"/>
    </xf>
    <xf numFmtId="14" fontId="4" fillId="0" borderId="0" xfId="0" applyNumberFormat="1" applyFont="1" applyAlignment="1">
      <alignment horizontal="left" vertical="top"/>
    </xf>
    <xf numFmtId="0" fontId="0" fillId="0" borderId="0" xfId="0" applyAlignment="1">
      <alignment vertical="top" wrapText="1"/>
    </xf>
    <xf numFmtId="0" fontId="4" fillId="0" borderId="0" xfId="0" applyFont="1" applyAlignment="1">
      <alignment vertical="top" wrapText="1"/>
    </xf>
    <xf numFmtId="3" fontId="165" fillId="0" borderId="0" xfId="0" applyNumberFormat="1" applyFont="1" applyAlignment="1">
      <alignment horizontal="left"/>
    </xf>
    <xf numFmtId="14" fontId="4" fillId="0" borderId="0" xfId="0" applyNumberFormat="1" applyFont="1" applyAlignment="1">
      <alignment horizontal="right"/>
    </xf>
    <xf numFmtId="2" fontId="4" fillId="0" borderId="0" xfId="0" applyNumberFormat="1" applyFont="1" applyAlignment="1">
      <alignment horizontal="right"/>
    </xf>
    <xf numFmtId="2" fontId="4" fillId="0" borderId="0" xfId="0" applyNumberFormat="1" applyFont="1" applyAlignment="1">
      <alignment horizontal="center"/>
    </xf>
    <xf numFmtId="0" fontId="4" fillId="0" borderId="0" xfId="0" applyFont="1" applyAlignment="1">
      <alignment horizontal="center"/>
    </xf>
    <xf numFmtId="171" fontId="4" fillId="0" borderId="0" xfId="0" applyNumberFormat="1" applyFont="1" applyAlignment="1">
      <alignment horizontal="right"/>
    </xf>
    <xf numFmtId="164" fontId="4" fillId="0" borderId="0" xfId="0" applyNumberFormat="1" applyFont="1" applyAlignment="1">
      <alignment horizontal="left"/>
    </xf>
    <xf numFmtId="164" fontId="4" fillId="0" borderId="0" xfId="0" applyNumberFormat="1" applyFont="1"/>
    <xf numFmtId="0" fontId="79" fillId="0" borderId="0" xfId="45"/>
    <xf numFmtId="180" fontId="136" fillId="0" borderId="70" xfId="0" applyNumberFormat="1" applyFont="1" applyBorder="1" applyAlignment="1" applyProtection="1">
      <alignment horizontal="left" vertical="center"/>
      <protection locked="0"/>
    </xf>
    <xf numFmtId="7" fontId="1" fillId="0" borderId="0" xfId="0" applyNumberFormat="1" applyFont="1" applyAlignment="1" applyProtection="1">
      <alignment horizontal="center"/>
      <protection locked="0"/>
    </xf>
    <xf numFmtId="7" fontId="0" fillId="0" borderId="0" xfId="0" applyNumberFormat="1" applyAlignment="1">
      <alignment horizontal="center"/>
    </xf>
    <xf numFmtId="0" fontId="1" fillId="0" borderId="55" xfId="0" applyFont="1" applyBorder="1" applyAlignment="1">
      <alignment horizontal="center"/>
    </xf>
    <xf numFmtId="171" fontId="23" fillId="0" borderId="55" xfId="0" applyNumberFormat="1" applyFont="1" applyBorder="1" applyAlignment="1">
      <alignment horizontal="center" vertical="top" wrapText="1"/>
    </xf>
    <xf numFmtId="0" fontId="23" fillId="0" borderId="0" xfId="0" applyFont="1" applyAlignment="1">
      <alignment horizontal="center"/>
    </xf>
    <xf numFmtId="0" fontId="23" fillId="0" borderId="0" xfId="0" applyFont="1" applyAlignment="1">
      <alignment horizontal="center" vertical="center"/>
    </xf>
    <xf numFmtId="3" fontId="1" fillId="0" borderId="0" xfId="0" applyNumberFormat="1" applyFont="1"/>
    <xf numFmtId="0" fontId="6" fillId="0" borderId="0" xfId="0" applyFont="1" applyAlignment="1">
      <alignment horizontal="center"/>
    </xf>
    <xf numFmtId="3" fontId="1" fillId="0" borderId="0" xfId="0" applyNumberFormat="1" applyFont="1" applyAlignment="1">
      <alignment horizontal="center" vertical="center"/>
    </xf>
    <xf numFmtId="0" fontId="23" fillId="0" borderId="0" xfId="0" applyFont="1" applyAlignment="1">
      <alignment horizontal="left" vertical="center"/>
    </xf>
    <xf numFmtId="169" fontId="6" fillId="0" borderId="0" xfId="0" applyNumberFormat="1" applyFont="1" applyAlignment="1">
      <alignment horizontal="center"/>
    </xf>
    <xf numFmtId="164" fontId="6" fillId="0" borderId="0" xfId="0" applyNumberFormat="1" applyFont="1" applyAlignment="1">
      <alignment horizontal="center"/>
    </xf>
    <xf numFmtId="3" fontId="6" fillId="0" borderId="0" xfId="0" applyNumberFormat="1" applyFont="1" applyAlignment="1">
      <alignment horizontal="center"/>
    </xf>
    <xf numFmtId="2" fontId="6" fillId="0" borderId="0" xfId="0" applyNumberFormat="1" applyFont="1" applyAlignment="1">
      <alignment horizontal="center"/>
    </xf>
    <xf numFmtId="2" fontId="6" fillId="0" borderId="0" xfId="0" applyNumberFormat="1" applyFont="1" applyAlignment="1">
      <alignment horizontal="center" wrapText="1"/>
    </xf>
    <xf numFmtId="0" fontId="6" fillId="0" borderId="0" xfId="0" applyFont="1" applyAlignment="1">
      <alignment horizontal="center" vertical="center"/>
    </xf>
    <xf numFmtId="0" fontId="6" fillId="0" borderId="0" xfId="0" applyFont="1" applyAlignment="1">
      <alignment horizontal="center" vertical="center" wrapText="1"/>
    </xf>
    <xf numFmtId="169" fontId="6" fillId="0" borderId="0" xfId="0" applyNumberFormat="1" applyFont="1" applyAlignment="1">
      <alignment horizontal="center" vertical="center" wrapText="1"/>
    </xf>
    <xf numFmtId="164" fontId="6" fillId="0" borderId="0" xfId="0" applyNumberFormat="1" applyFont="1" applyAlignment="1">
      <alignment horizontal="center" vertical="center" wrapText="1"/>
    </xf>
    <xf numFmtId="3" fontId="6" fillId="0" borderId="0" xfId="0" applyNumberFormat="1" applyFont="1" applyAlignment="1">
      <alignment horizontal="center" vertical="center" wrapText="1"/>
    </xf>
    <xf numFmtId="2" fontId="6" fillId="0" borderId="0" xfId="0" applyNumberFormat="1" applyFont="1" applyAlignment="1">
      <alignment horizontal="center" vertical="center" wrapText="1"/>
    </xf>
    <xf numFmtId="0" fontId="6" fillId="0" borderId="0" xfId="0" applyFont="1" applyAlignment="1">
      <alignment horizontal="center" wrapText="1"/>
    </xf>
    <xf numFmtId="169" fontId="6" fillId="0" borderId="0" xfId="0" applyNumberFormat="1" applyFont="1" applyAlignment="1">
      <alignment horizontal="center" wrapText="1"/>
    </xf>
    <xf numFmtId="164" fontId="6" fillId="0" borderId="0" xfId="0" applyNumberFormat="1" applyFont="1" applyAlignment="1">
      <alignment horizontal="center" wrapText="1"/>
    </xf>
    <xf numFmtId="3" fontId="6" fillId="0" borderId="0" xfId="0" applyNumberFormat="1" applyFont="1" applyAlignment="1">
      <alignment horizontal="center" wrapText="1"/>
    </xf>
    <xf numFmtId="4" fontId="6" fillId="0" borderId="0" xfId="0" applyNumberFormat="1" applyFont="1" applyAlignment="1">
      <alignment horizontal="center"/>
    </xf>
    <xf numFmtId="169" fontId="23" fillId="0" borderId="0" xfId="0" applyNumberFormat="1" applyFont="1" applyAlignment="1">
      <alignment horizontal="center"/>
    </xf>
    <xf numFmtId="164" fontId="23" fillId="0" borderId="0" xfId="0" applyNumberFormat="1" applyFont="1" applyAlignment="1">
      <alignment horizontal="center"/>
    </xf>
    <xf numFmtId="3" fontId="23" fillId="0" borderId="0" xfId="0" applyNumberFormat="1" applyFont="1" applyAlignment="1">
      <alignment horizontal="center"/>
    </xf>
    <xf numFmtId="2" fontId="23" fillId="0" borderId="0" xfId="0" applyNumberFormat="1" applyFont="1" applyAlignment="1">
      <alignment horizontal="center"/>
    </xf>
    <xf numFmtId="1" fontId="6" fillId="0" borderId="0" xfId="0" applyNumberFormat="1" applyFont="1" applyAlignment="1">
      <alignment horizontal="center"/>
    </xf>
    <xf numFmtId="169" fontId="23" fillId="0" borderId="0" xfId="0" applyNumberFormat="1" applyFont="1" applyAlignment="1">
      <alignment horizontal="center" vertical="center"/>
    </xf>
    <xf numFmtId="164" fontId="23" fillId="0" borderId="0" xfId="0" applyNumberFormat="1" applyFont="1" applyAlignment="1">
      <alignment horizontal="center" vertical="center"/>
    </xf>
    <xf numFmtId="3" fontId="23" fillId="0" borderId="0" xfId="0" applyNumberFormat="1" applyFont="1" applyAlignment="1">
      <alignment horizontal="center" vertical="center"/>
    </xf>
    <xf numFmtId="2" fontId="23" fillId="0" borderId="0" xfId="0" applyNumberFormat="1" applyFont="1" applyAlignment="1">
      <alignment horizontal="center" vertical="center"/>
    </xf>
    <xf numFmtId="179" fontId="0" fillId="0" borderId="0" xfId="0" applyNumberFormat="1" applyAlignment="1">
      <alignment horizontal="center" vertical="center"/>
    </xf>
    <xf numFmtId="3" fontId="6" fillId="0" borderId="0" xfId="0" applyNumberFormat="1" applyFont="1" applyAlignment="1">
      <alignment horizontal="center" vertical="center"/>
    </xf>
    <xf numFmtId="180" fontId="6" fillId="0" borderId="0" xfId="0" applyNumberFormat="1" applyFont="1" applyAlignment="1">
      <alignment horizontal="center" vertical="center"/>
    </xf>
    <xf numFmtId="0" fontId="1" fillId="46" borderId="0" xfId="0" applyFont="1" applyFill="1"/>
    <xf numFmtId="165" fontId="99" fillId="39" borderId="55" xfId="44" applyFont="1" applyFill="1" applyBorder="1" applyAlignment="1">
      <alignment vertical="center" wrapText="1"/>
    </xf>
    <xf numFmtId="0" fontId="99" fillId="39" borderId="20" xfId="44" applyNumberFormat="1" applyFont="1" applyFill="1" applyBorder="1" applyAlignment="1">
      <alignment horizontal="center" vertical="center" wrapText="1"/>
    </xf>
    <xf numFmtId="0" fontId="99" fillId="39" borderId="20" xfId="42" applyNumberFormat="1" applyFont="1" applyFill="1" applyBorder="1" applyAlignment="1">
      <alignment horizontal="center" vertical="center" wrapText="1"/>
    </xf>
    <xf numFmtId="0" fontId="166" fillId="0" borderId="0" xfId="0" applyFont="1"/>
    <xf numFmtId="165" fontId="42" fillId="2" borderId="0" xfId="42" applyFont="1" applyAlignment="1">
      <alignment wrapText="1"/>
    </xf>
    <xf numFmtId="165" fontId="42" fillId="0" borderId="19" xfId="42" applyFont="1" applyFill="1" applyBorder="1" applyAlignment="1">
      <alignment vertical="center" wrapText="1"/>
    </xf>
    <xf numFmtId="165" fontId="70" fillId="0" borderId="4" xfId="42" applyFont="1" applyFill="1" applyBorder="1" applyAlignment="1">
      <alignment horizontal="center" vertical="center" wrapText="1"/>
    </xf>
    <xf numFmtId="165" fontId="69" fillId="2" borderId="0" xfId="42" applyFont="1" applyAlignment="1">
      <alignment wrapText="1"/>
    </xf>
    <xf numFmtId="0" fontId="69" fillId="2" borderId="0" xfId="42" applyNumberFormat="1" applyFont="1" applyAlignment="1">
      <alignment wrapText="1"/>
    </xf>
    <xf numFmtId="0" fontId="1" fillId="0" borderId="55" xfId="0" applyFont="1" applyBorder="1" applyAlignment="1" applyProtection="1">
      <alignment horizontal="center" vertical="top" wrapText="1"/>
      <protection locked="0"/>
    </xf>
    <xf numFmtId="164" fontId="23" fillId="0" borderId="55" xfId="0" applyNumberFormat="1" applyFont="1" applyBorder="1" applyAlignment="1" applyProtection="1">
      <alignment horizontal="center" wrapText="1"/>
      <protection locked="0"/>
    </xf>
    <xf numFmtId="0" fontId="1" fillId="0" borderId="55" xfId="0" applyFont="1" applyBorder="1" applyProtection="1">
      <protection locked="0"/>
    </xf>
    <xf numFmtId="14" fontId="6" fillId="0" borderId="55" xfId="0" applyNumberFormat="1" applyFont="1" applyBorder="1" applyAlignment="1" applyProtection="1">
      <alignment horizontal="center"/>
      <protection locked="0"/>
    </xf>
    <xf numFmtId="165" fontId="43" fillId="2" borderId="0" xfId="42" applyFont="1"/>
    <xf numFmtId="9" fontId="6" fillId="0" borderId="56" xfId="0" applyNumberFormat="1" applyFont="1" applyBorder="1" applyAlignment="1" applyProtection="1">
      <alignment horizontal="center" vertical="center"/>
      <protection locked="0"/>
    </xf>
    <xf numFmtId="0" fontId="1" fillId="0" borderId="0" xfId="0" applyFont="1" applyAlignment="1" applyProtection="1">
      <alignment horizontal="center" vertical="top" wrapText="1"/>
      <protection locked="0"/>
    </xf>
    <xf numFmtId="0" fontId="1" fillId="41" borderId="55" xfId="0" applyFont="1" applyFill="1" applyBorder="1" applyAlignment="1" applyProtection="1">
      <alignment horizontal="center"/>
      <protection locked="0"/>
    </xf>
    <xf numFmtId="0" fontId="0" fillId="0" borderId="55" xfId="0" applyBorder="1" applyProtection="1">
      <protection locked="0"/>
      <extLst>
        <ext xmlns:xfpb="http://schemas.microsoft.com/office/spreadsheetml/2022/featurepropertybag" uri="{C7286773-470A-42A8-94C5-96B5CB345126}">
          <xfpb:xfComplement i="0"/>
        </ext>
      </extLst>
    </xf>
    <xf numFmtId="9" fontId="0" fillId="0" borderId="0" xfId="0" applyNumberFormat="1" applyProtection="1">
      <protection locked="0"/>
    </xf>
    <xf numFmtId="164" fontId="0" fillId="0" borderId="0" xfId="0" applyNumberFormat="1" applyProtection="1">
      <protection locked="0"/>
    </xf>
    <xf numFmtId="164" fontId="1" fillId="0" borderId="0" xfId="0" applyNumberFormat="1" applyFont="1" applyProtection="1">
      <protection locked="0"/>
    </xf>
    <xf numFmtId="0" fontId="99" fillId="2" borderId="55" xfId="44" applyNumberFormat="1" applyFont="1" applyBorder="1" applyAlignment="1">
      <alignment horizontal="center" vertical="center" shrinkToFit="1"/>
    </xf>
    <xf numFmtId="14" fontId="0" fillId="0" borderId="0" xfId="0" applyNumberFormat="1"/>
    <xf numFmtId="0" fontId="0" fillId="0" borderId="0" xfId="0" applyAlignment="1" applyProtection="1">
      <alignment wrapText="1"/>
      <protection locked="0"/>
    </xf>
    <xf numFmtId="0" fontId="141" fillId="42" borderId="0" xfId="0" applyFont="1" applyFill="1"/>
    <xf numFmtId="2" fontId="0" fillId="0" borderId="0" xfId="0" applyNumberFormat="1" applyProtection="1">
      <protection locked="0"/>
    </xf>
    <xf numFmtId="0" fontId="0" fillId="8" borderId="74" xfId="0" applyFill="1" applyBorder="1" applyAlignment="1">
      <alignment horizontal="left" wrapText="1"/>
    </xf>
    <xf numFmtId="0" fontId="144" fillId="0" borderId="0" xfId="48" applyAlignment="1">
      <alignment horizontal="left"/>
    </xf>
    <xf numFmtId="0" fontId="148" fillId="0" borderId="117" xfId="48" applyFont="1" applyBorder="1"/>
    <xf numFmtId="0" fontId="144" fillId="0" borderId="118" xfId="48" applyBorder="1"/>
    <xf numFmtId="0" fontId="144" fillId="0" borderId="119" xfId="48" applyBorder="1"/>
    <xf numFmtId="0" fontId="144" fillId="0" borderId="116" xfId="48" applyBorder="1"/>
    <xf numFmtId="0" fontId="144" fillId="0" borderId="69" xfId="48" applyBorder="1"/>
    <xf numFmtId="3" fontId="144" fillId="47" borderId="55" xfId="48" applyNumberFormat="1" applyFill="1" applyBorder="1"/>
    <xf numFmtId="0" fontId="144" fillId="0" borderId="19" xfId="48" applyBorder="1"/>
    <xf numFmtId="0" fontId="144" fillId="0" borderId="18" xfId="48" applyBorder="1"/>
    <xf numFmtId="0" fontId="144" fillId="47" borderId="55" xfId="48" applyFill="1" applyBorder="1"/>
    <xf numFmtId="9" fontId="144" fillId="47" borderId="55" xfId="48" applyNumberFormat="1" applyFill="1" applyBorder="1"/>
    <xf numFmtId="171" fontId="144" fillId="0" borderId="55" xfId="48" applyNumberFormat="1" applyBorder="1"/>
    <xf numFmtId="171" fontId="144" fillId="47" borderId="55" xfId="48" applyNumberFormat="1" applyFill="1" applyBorder="1"/>
    <xf numFmtId="171" fontId="144" fillId="0" borderId="117" xfId="48" applyNumberFormat="1" applyBorder="1"/>
    <xf numFmtId="10" fontId="144" fillId="47" borderId="55" xfId="48" applyNumberFormat="1" applyFill="1" applyBorder="1"/>
    <xf numFmtId="10" fontId="144" fillId="0" borderId="0" xfId="48" applyNumberFormat="1"/>
    <xf numFmtId="0" fontId="148" fillId="0" borderId="116" xfId="48" applyFont="1" applyBorder="1"/>
    <xf numFmtId="0" fontId="144" fillId="0" borderId="69" xfId="48" applyBorder="1" applyAlignment="1">
      <alignment horizontal="left"/>
    </xf>
    <xf numFmtId="3" fontId="144" fillId="0" borderId="69" xfId="48" applyNumberFormat="1" applyBorder="1"/>
    <xf numFmtId="187" fontId="144" fillId="0" borderId="0" xfId="48" applyNumberFormat="1"/>
    <xf numFmtId="187" fontId="144" fillId="0" borderId="69" xfId="48" applyNumberFormat="1" applyBorder="1"/>
    <xf numFmtId="0" fontId="144" fillId="0" borderId="71" xfId="48" applyBorder="1"/>
    <xf numFmtId="0" fontId="144" fillId="0" borderId="79" xfId="48" applyBorder="1"/>
    <xf numFmtId="0" fontId="144" fillId="0" borderId="82" xfId="48" applyBorder="1"/>
    <xf numFmtId="0" fontId="144" fillId="0" borderId="118" xfId="48" applyBorder="1" applyAlignment="1">
      <alignment horizontal="left"/>
    </xf>
    <xf numFmtId="0" fontId="144" fillId="0" borderId="119" xfId="48" applyBorder="1" applyAlignment="1">
      <alignment horizontal="left"/>
    </xf>
    <xf numFmtId="3" fontId="144" fillId="0" borderId="55" xfId="48" applyNumberFormat="1" applyBorder="1"/>
    <xf numFmtId="3" fontId="144" fillId="0" borderId="120" xfId="48" applyNumberFormat="1" applyBorder="1"/>
    <xf numFmtId="164" fontId="144" fillId="0" borderId="18" xfId="48" applyNumberFormat="1" applyBorder="1"/>
    <xf numFmtId="0" fontId="168" fillId="0" borderId="42" xfId="46" applyFont="1" applyBorder="1"/>
    <xf numFmtId="164" fontId="169" fillId="0" borderId="0" xfId="46" applyNumberFormat="1" applyFont="1"/>
    <xf numFmtId="3" fontId="144" fillId="0" borderId="3" xfId="48" applyNumberFormat="1" applyBorder="1"/>
    <xf numFmtId="0" fontId="6" fillId="0" borderId="70" xfId="0" applyFont="1" applyBorder="1" applyAlignment="1" applyProtection="1">
      <alignment horizontal="center" vertical="center" wrapText="1"/>
      <protection locked="0"/>
    </xf>
    <xf numFmtId="171" fontId="0" fillId="0" borderId="0" xfId="0" applyNumberFormat="1"/>
    <xf numFmtId="0" fontId="1" fillId="46" borderId="0" xfId="0" applyFont="1" applyFill="1" applyAlignment="1">
      <alignment horizontal="center"/>
    </xf>
    <xf numFmtId="3" fontId="1" fillId="46" borderId="0" xfId="0" applyNumberFormat="1" applyFont="1" applyFill="1"/>
    <xf numFmtId="171" fontId="1" fillId="46" borderId="0" xfId="0" applyNumberFormat="1" applyFont="1" applyFill="1"/>
    <xf numFmtId="14" fontId="1" fillId="46" borderId="0" xfId="0" applyNumberFormat="1" applyFont="1" applyFill="1"/>
    <xf numFmtId="0" fontId="1" fillId="0" borderId="0" xfId="0" applyFont="1" applyAlignment="1" applyProtection="1">
      <alignment horizontal="left"/>
      <protection locked="0"/>
    </xf>
    <xf numFmtId="171" fontId="1" fillId="0" borderId="0" xfId="0" applyNumberFormat="1" applyFont="1" applyProtection="1">
      <protection locked="0"/>
    </xf>
    <xf numFmtId="171" fontId="1" fillId="0" borderId="0" xfId="0" applyNumberFormat="1" applyFont="1"/>
    <xf numFmtId="9" fontId="1" fillId="0" borderId="0" xfId="0" applyNumberFormat="1" applyFont="1" applyAlignment="1" applyProtection="1">
      <alignment horizontal="left"/>
      <protection locked="0"/>
    </xf>
    <xf numFmtId="171" fontId="1" fillId="0" borderId="0" xfId="0" applyNumberFormat="1" applyFont="1" applyAlignment="1" applyProtection="1">
      <alignment horizontal="left"/>
      <protection locked="0"/>
    </xf>
    <xf numFmtId="0" fontId="6" fillId="0" borderId="0" xfId="0" applyFont="1" applyAlignment="1" applyProtection="1">
      <alignment vertical="top"/>
      <protection locked="0"/>
    </xf>
    <xf numFmtId="0" fontId="1" fillId="0" borderId="79" xfId="0" applyFont="1" applyBorder="1"/>
    <xf numFmtId="169" fontId="0" fillId="0" borderId="0" xfId="0" applyNumberFormat="1"/>
    <xf numFmtId="164" fontId="0" fillId="0" borderId="0" xfId="0" applyNumberFormat="1"/>
    <xf numFmtId="1" fontId="0" fillId="0" borderId="0" xfId="0" applyNumberFormat="1"/>
    <xf numFmtId="2" fontId="0" fillId="0" borderId="0" xfId="0" applyNumberFormat="1"/>
    <xf numFmtId="0" fontId="1" fillId="0" borderId="55" xfId="0" applyFont="1" applyBorder="1"/>
    <xf numFmtId="169" fontId="1" fillId="0" borderId="55" xfId="0" applyNumberFormat="1" applyFont="1" applyBorder="1"/>
    <xf numFmtId="164" fontId="1" fillId="0" borderId="55" xfId="0" applyNumberFormat="1" applyFont="1" applyBorder="1"/>
    <xf numFmtId="3" fontId="1" fillId="0" borderId="55" xfId="0" applyNumberFormat="1" applyFont="1" applyBorder="1"/>
    <xf numFmtId="1" fontId="1" fillId="0" borderId="55" xfId="0" applyNumberFormat="1" applyFont="1" applyBorder="1"/>
    <xf numFmtId="2" fontId="1" fillId="0" borderId="55" xfId="0" applyNumberFormat="1" applyFont="1" applyBorder="1"/>
    <xf numFmtId="0" fontId="23" fillId="48" borderId="55" xfId="0" applyFont="1" applyFill="1" applyBorder="1" applyAlignment="1">
      <alignment horizontal="center"/>
    </xf>
    <xf numFmtId="169" fontId="23" fillId="48" borderId="55" xfId="0" applyNumberFormat="1" applyFont="1" applyFill="1" applyBorder="1" applyAlignment="1">
      <alignment horizontal="center"/>
    </xf>
    <xf numFmtId="164" fontId="23" fillId="48" borderId="55" xfId="0" applyNumberFormat="1" applyFont="1" applyFill="1" applyBorder="1" applyAlignment="1">
      <alignment horizontal="center"/>
    </xf>
    <xf numFmtId="3" fontId="23" fillId="48" borderId="55" xfId="0" applyNumberFormat="1" applyFont="1" applyFill="1" applyBorder="1" applyAlignment="1">
      <alignment horizontal="center"/>
    </xf>
    <xf numFmtId="2" fontId="23" fillId="48" borderId="55" xfId="0" applyNumberFormat="1" applyFont="1" applyFill="1" applyBorder="1" applyAlignment="1">
      <alignment horizontal="center"/>
    </xf>
    <xf numFmtId="0" fontId="23" fillId="50" borderId="55" xfId="0" applyFont="1" applyFill="1" applyBorder="1" applyAlignment="1">
      <alignment horizontal="center"/>
    </xf>
    <xf numFmtId="0" fontId="6" fillId="49" borderId="55" xfId="0" applyFont="1" applyFill="1" applyBorder="1" applyAlignment="1">
      <alignment horizontal="center"/>
    </xf>
    <xf numFmtId="169" fontId="6" fillId="49" borderId="55" xfId="0" applyNumberFormat="1" applyFont="1" applyFill="1" applyBorder="1" applyAlignment="1">
      <alignment horizontal="center"/>
    </xf>
    <xf numFmtId="164" fontId="6" fillId="49" borderId="55" xfId="0" applyNumberFormat="1" applyFont="1" applyFill="1" applyBorder="1" applyAlignment="1">
      <alignment horizontal="center"/>
    </xf>
    <xf numFmtId="3" fontId="6" fillId="49" borderId="55" xfId="0" applyNumberFormat="1" applyFont="1" applyFill="1" applyBorder="1" applyAlignment="1">
      <alignment horizontal="center"/>
    </xf>
    <xf numFmtId="1" fontId="6" fillId="49" borderId="55" xfId="0" applyNumberFormat="1" applyFont="1" applyFill="1" applyBorder="1" applyAlignment="1">
      <alignment horizontal="center"/>
    </xf>
    <xf numFmtId="2" fontId="6" fillId="49" borderId="55" xfId="0" applyNumberFormat="1" applyFont="1" applyFill="1" applyBorder="1" applyAlignment="1">
      <alignment horizontal="center"/>
    </xf>
    <xf numFmtId="0" fontId="23" fillId="48" borderId="55" xfId="0" applyFont="1" applyFill="1" applyBorder="1" applyAlignment="1">
      <alignment horizontal="center" vertical="center"/>
    </xf>
    <xf numFmtId="169" fontId="23" fillId="48" borderId="55" xfId="0" applyNumberFormat="1" applyFont="1" applyFill="1" applyBorder="1" applyAlignment="1">
      <alignment horizontal="center" vertical="center"/>
    </xf>
    <xf numFmtId="164" fontId="23" fillId="48" borderId="55" xfId="0" applyNumberFormat="1" applyFont="1" applyFill="1" applyBorder="1" applyAlignment="1">
      <alignment horizontal="center" vertical="center"/>
    </xf>
    <xf numFmtId="3" fontId="23" fillId="48" borderId="55" xfId="0" applyNumberFormat="1" applyFont="1" applyFill="1" applyBorder="1" applyAlignment="1">
      <alignment horizontal="center" vertical="center"/>
    </xf>
    <xf numFmtId="2" fontId="23" fillId="48" borderId="55" xfId="0" applyNumberFormat="1" applyFont="1" applyFill="1" applyBorder="1" applyAlignment="1">
      <alignment horizontal="center" vertical="center"/>
    </xf>
    <xf numFmtId="0" fontId="6" fillId="50" borderId="55" xfId="0" applyFont="1" applyFill="1" applyBorder="1" applyAlignment="1">
      <alignment horizontal="center"/>
    </xf>
    <xf numFmtId="0" fontId="0" fillId="0" borderId="55" xfId="0" applyBorder="1" applyAlignment="1">
      <alignment horizontal="center" vertical="center"/>
    </xf>
    <xf numFmtId="0" fontId="0" fillId="43" borderId="121" xfId="0" applyFill="1" applyBorder="1"/>
    <xf numFmtId="0" fontId="1" fillId="48" borderId="121" xfId="0" applyFont="1" applyFill="1" applyBorder="1" applyAlignment="1">
      <alignment horizontal="center" vertical="center"/>
    </xf>
    <xf numFmtId="0" fontId="23" fillId="43" borderId="122" xfId="0" applyFont="1" applyFill="1" applyBorder="1" applyAlignment="1">
      <alignment horizontal="center" vertical="center"/>
    </xf>
    <xf numFmtId="0" fontId="23" fillId="48" borderId="122" xfId="0" applyFont="1" applyFill="1" applyBorder="1" applyAlignment="1">
      <alignment horizontal="center" vertical="center"/>
    </xf>
    <xf numFmtId="0" fontId="23" fillId="49" borderId="122" xfId="0" applyFont="1" applyFill="1" applyBorder="1" applyAlignment="1">
      <alignment horizontal="left" vertical="center"/>
    </xf>
    <xf numFmtId="179" fontId="0" fillId="0" borderId="55" xfId="0" applyNumberFormat="1" applyBorder="1" applyAlignment="1">
      <alignment horizontal="center" vertical="center"/>
    </xf>
    <xf numFmtId="0" fontId="0" fillId="40" borderId="70" xfId="0" applyFill="1" applyBorder="1" applyAlignment="1" applyProtection="1">
      <alignment horizontal="center"/>
      <protection locked="0"/>
    </xf>
    <xf numFmtId="0" fontId="0" fillId="40" borderId="70" xfId="0" applyFill="1" applyBorder="1" applyAlignment="1" applyProtection="1">
      <alignment horizontal="center" vertical="center"/>
      <protection locked="0"/>
    </xf>
    <xf numFmtId="0" fontId="1" fillId="0" borderId="0" xfId="0" applyFont="1" applyAlignment="1" applyProtection="1">
      <alignment horizontal="center"/>
      <protection locked="0"/>
    </xf>
    <xf numFmtId="0" fontId="1" fillId="0" borderId="0" xfId="0" applyFont="1" applyProtection="1">
      <protection locked="0"/>
    </xf>
    <xf numFmtId="0" fontId="0" fillId="0" borderId="0" xfId="0" applyAlignment="1" applyProtection="1">
      <alignment horizontal="center"/>
      <protection locked="0"/>
    </xf>
    <xf numFmtId="0" fontId="0" fillId="0" borderId="0" xfId="0" applyProtection="1">
      <protection locked="0"/>
    </xf>
    <xf numFmtId="0" fontId="87" fillId="0" borderId="0" xfId="0" applyFont="1" applyAlignment="1" applyProtection="1">
      <alignment horizontal="center" vertical="center" wrapText="1"/>
      <protection locked="0"/>
    </xf>
    <xf numFmtId="0" fontId="27" fillId="37" borderId="70" xfId="0" applyFont="1" applyFill="1" applyBorder="1" applyAlignment="1">
      <alignment horizontal="center" vertical="center"/>
    </xf>
    <xf numFmtId="0" fontId="27" fillId="37" borderId="70" xfId="0" applyFont="1" applyFill="1" applyBorder="1" applyAlignment="1" applyProtection="1">
      <alignment horizontal="center" vertical="center"/>
      <protection locked="0"/>
    </xf>
    <xf numFmtId="0" fontId="0" fillId="40" borderId="73" xfId="0" applyFill="1" applyBorder="1" applyAlignment="1" applyProtection="1">
      <alignment horizontal="center" vertical="center"/>
      <protection locked="0"/>
    </xf>
    <xf numFmtId="0" fontId="27" fillId="37" borderId="73" xfId="0" applyFont="1" applyFill="1" applyBorder="1" applyAlignment="1" applyProtection="1">
      <alignment horizontal="center" vertical="center"/>
      <protection locked="0"/>
    </xf>
    <xf numFmtId="0" fontId="31" fillId="0" borderId="0" xfId="0" applyFont="1" applyAlignment="1" applyProtection="1">
      <alignment horizontal="center" vertical="center" wrapText="1"/>
      <protection locked="0"/>
    </xf>
    <xf numFmtId="0" fontId="31" fillId="0" borderId="0" xfId="0" applyFont="1" applyAlignment="1" applyProtection="1">
      <alignment horizontal="center" wrapText="1"/>
      <protection locked="0"/>
    </xf>
    <xf numFmtId="0" fontId="88" fillId="0" borderId="0" xfId="0" applyFont="1" applyAlignment="1" applyProtection="1">
      <alignment horizontal="center" vertical="center"/>
      <protection locked="0"/>
    </xf>
    <xf numFmtId="0" fontId="20" fillId="0" borderId="0" xfId="0" applyFont="1" applyAlignment="1" applyProtection="1">
      <alignment horizontal="center"/>
      <protection locked="0"/>
    </xf>
    <xf numFmtId="0" fontId="23" fillId="0" borderId="0" xfId="0" applyFont="1" applyAlignment="1" applyProtection="1">
      <alignment horizontal="center" vertical="top" wrapText="1"/>
      <protection locked="0"/>
    </xf>
    <xf numFmtId="0" fontId="0" fillId="0" borderId="0" xfId="0" applyAlignment="1">
      <alignment horizontal="left" vertical="top" wrapText="1"/>
    </xf>
    <xf numFmtId="0" fontId="4" fillId="0" borderId="0" xfId="0" applyFont="1" applyAlignment="1">
      <alignment horizontal="left" vertical="top" wrapText="1"/>
    </xf>
    <xf numFmtId="0" fontId="1" fillId="0" borderId="0" xfId="0" applyFont="1" applyAlignment="1">
      <alignment horizontal="center"/>
    </xf>
    <xf numFmtId="0" fontId="44" fillId="0" borderId="0" xfId="0" applyFont="1"/>
    <xf numFmtId="0" fontId="42" fillId="0" borderId="0" xfId="0" applyFont="1" applyAlignment="1" applyProtection="1">
      <alignment horizontal="left" vertical="top" wrapText="1"/>
      <protection locked="0"/>
    </xf>
    <xf numFmtId="0" fontId="42" fillId="0" borderId="0" xfId="0" applyFont="1" applyAlignment="1">
      <alignment horizontal="left" vertical="top" wrapText="1"/>
    </xf>
    <xf numFmtId="0" fontId="42" fillId="0" borderId="5" xfId="0" applyFont="1" applyBorder="1" applyAlignment="1">
      <alignment horizontal="left" vertical="top" wrapText="1"/>
    </xf>
    <xf numFmtId="0" fontId="0" fillId="0" borderId="0" xfId="0" applyAlignment="1">
      <alignment horizontal="center" vertical="center"/>
    </xf>
    <xf numFmtId="0" fontId="141" fillId="42" borderId="0" xfId="0" applyFont="1" applyFill="1" applyAlignment="1">
      <alignment horizontal="center"/>
    </xf>
    <xf numFmtId="0" fontId="22" fillId="0" borderId="0" xfId="0" applyFont="1" applyAlignment="1">
      <alignment horizontal="center"/>
    </xf>
    <xf numFmtId="0" fontId="140" fillId="0" borderId="0" xfId="0" applyFont="1" applyAlignment="1">
      <alignment horizontal="center"/>
    </xf>
    <xf numFmtId="0" fontId="82" fillId="42" borderId="0" xfId="0" applyFont="1" applyFill="1" applyAlignment="1">
      <alignment horizontal="center"/>
    </xf>
    <xf numFmtId="0" fontId="82" fillId="42" borderId="75" xfId="0" applyFont="1" applyFill="1" applyBorder="1" applyAlignment="1">
      <alignment horizontal="center"/>
    </xf>
    <xf numFmtId="0" fontId="141" fillId="42" borderId="76" xfId="0" applyFont="1" applyFill="1" applyBorder="1" applyAlignment="1">
      <alignment horizontal="center"/>
    </xf>
    <xf numFmtId="0" fontId="141" fillId="42" borderId="77" xfId="0" applyFont="1" applyFill="1" applyBorder="1" applyAlignment="1">
      <alignment horizontal="center"/>
    </xf>
    <xf numFmtId="0" fontId="141" fillId="42" borderId="78" xfId="0" applyFont="1" applyFill="1" applyBorder="1" applyAlignment="1">
      <alignment horizontal="center"/>
    </xf>
    <xf numFmtId="0" fontId="132" fillId="0" borderId="0" xfId="0" applyFont="1" applyAlignment="1">
      <alignment horizontal="center" vertical="center" wrapText="1" shrinkToFit="1"/>
    </xf>
    <xf numFmtId="0" fontId="132" fillId="0" borderId="115" xfId="0" applyFont="1" applyBorder="1" applyAlignment="1">
      <alignment horizontal="center" vertical="center" wrapText="1" shrinkToFit="1"/>
    </xf>
    <xf numFmtId="0" fontId="90" fillId="0" borderId="0" xfId="0" applyFont="1" applyAlignment="1" applyProtection="1">
      <alignment horizontal="center" vertical="center" wrapText="1"/>
      <protection locked="0"/>
    </xf>
    <xf numFmtId="0" fontId="24" fillId="0" borderId="0" xfId="0" applyFont="1" applyAlignment="1" applyProtection="1">
      <alignment horizontal="center" vertical="center" wrapText="1"/>
      <protection locked="0"/>
    </xf>
    <xf numFmtId="0" fontId="84" fillId="0" borderId="0" xfId="0" applyFont="1" applyAlignment="1" applyProtection="1">
      <alignment horizontal="center" vertical="center" wrapText="1"/>
      <protection locked="0"/>
    </xf>
    <xf numFmtId="0" fontId="84" fillId="0" borderId="0" xfId="0" applyFont="1" applyAlignment="1" applyProtection="1">
      <alignment horizontal="center"/>
      <protection locked="0"/>
    </xf>
    <xf numFmtId="0" fontId="53" fillId="0" borderId="0" xfId="0" applyFont="1" applyAlignment="1" applyProtection="1">
      <alignment horizontal="center"/>
      <protection locked="0"/>
    </xf>
    <xf numFmtId="0" fontId="5" fillId="0" borderId="0" xfId="0" applyFont="1" applyAlignment="1" applyProtection="1">
      <alignment horizontal="center" wrapText="1"/>
      <protection locked="0"/>
    </xf>
    <xf numFmtId="0" fontId="5" fillId="0" borderId="0" xfId="0" applyFont="1" applyAlignment="1" applyProtection="1">
      <alignment horizontal="center"/>
      <protection locked="0"/>
    </xf>
    <xf numFmtId="0" fontId="45" fillId="0" borderId="0" xfId="0" applyFont="1" applyAlignment="1" applyProtection="1">
      <alignment horizontal="center" vertical="top" wrapText="1"/>
      <protection locked="0"/>
    </xf>
    <xf numFmtId="164" fontId="5" fillId="0" borderId="0" xfId="0" applyNumberFormat="1" applyFont="1" applyAlignment="1" applyProtection="1">
      <alignment horizontal="center"/>
      <protection locked="0"/>
    </xf>
    <xf numFmtId="0" fontId="47" fillId="0" borderId="0" xfId="0" applyFont="1" applyAlignment="1" applyProtection="1">
      <alignment horizontal="center" vertical="top" wrapText="1"/>
      <protection locked="0"/>
    </xf>
    <xf numFmtId="0" fontId="6" fillId="0" borderId="0" xfId="0" applyFont="1" applyAlignment="1">
      <alignment horizontal="left" vertical="top" wrapText="1"/>
    </xf>
    <xf numFmtId="0" fontId="24" fillId="0" borderId="0" xfId="0" applyFont="1" applyAlignment="1">
      <alignment horizontal="center" vertical="center"/>
    </xf>
    <xf numFmtId="164" fontId="5" fillId="0" borderId="0" xfId="0" applyNumberFormat="1" applyFont="1" applyAlignment="1" applyProtection="1">
      <alignment horizontal="left" vertical="top"/>
      <protection locked="0"/>
    </xf>
    <xf numFmtId="0" fontId="5" fillId="0" borderId="0" xfId="0" applyFont="1" applyAlignment="1" applyProtection="1">
      <alignment horizontal="right" vertical="top"/>
      <protection locked="0"/>
    </xf>
    <xf numFmtId="164" fontId="5" fillId="0" borderId="0" xfId="0" applyNumberFormat="1" applyFont="1" applyAlignment="1">
      <alignment horizontal="left" vertical="top"/>
    </xf>
    <xf numFmtId="0" fontId="5" fillId="0" borderId="0" xfId="0" applyFont="1" applyAlignment="1">
      <alignment horizontal="left" vertical="top"/>
    </xf>
    <xf numFmtId="0" fontId="49" fillId="0" borderId="0" xfId="0" applyFont="1" applyAlignment="1">
      <alignment horizontal="left" vertical="top"/>
    </xf>
    <xf numFmtId="0" fontId="1" fillId="0" borderId="0" xfId="0" applyFont="1"/>
    <xf numFmtId="0" fontId="6" fillId="0" borderId="0" xfId="0" applyFont="1" applyAlignment="1" applyProtection="1">
      <alignment horizontal="left" vertical="top" wrapText="1"/>
      <protection locked="0"/>
    </xf>
    <xf numFmtId="0" fontId="1" fillId="0" borderId="55" xfId="0" applyFont="1" applyBorder="1" applyAlignment="1">
      <alignment horizontal="center" vertical="center"/>
    </xf>
    <xf numFmtId="0" fontId="0" fillId="0" borderId="55" xfId="0" applyBorder="1" applyAlignment="1">
      <alignment horizontal="center" vertical="center" wrapText="1"/>
    </xf>
    <xf numFmtId="14" fontId="0" fillId="0" borderId="55" xfId="0" applyNumberFormat="1" applyBorder="1" applyAlignment="1">
      <alignment horizontal="center" vertical="center"/>
    </xf>
    <xf numFmtId="0" fontId="0" fillId="0" borderId="55" xfId="0" applyBorder="1" applyAlignment="1">
      <alignment horizontal="center" vertical="center"/>
    </xf>
    <xf numFmtId="14" fontId="0" fillId="0" borderId="55" xfId="0" applyNumberFormat="1" applyBorder="1" applyAlignment="1">
      <alignment horizontal="center" vertical="center" wrapText="1"/>
    </xf>
    <xf numFmtId="164" fontId="0" fillId="0" borderId="55" xfId="0" applyNumberFormat="1" applyBorder="1" applyAlignment="1">
      <alignment horizontal="center" vertical="center" wrapText="1"/>
    </xf>
    <xf numFmtId="4" fontId="0" fillId="0" borderId="55" xfId="0" applyNumberFormat="1" applyBorder="1" applyAlignment="1">
      <alignment horizontal="center" vertical="center" wrapText="1"/>
    </xf>
    <xf numFmtId="164" fontId="0" fillId="0" borderId="55" xfId="0" applyNumberFormat="1" applyBorder="1" applyAlignment="1">
      <alignment horizontal="center" vertical="center"/>
    </xf>
    <xf numFmtId="165" fontId="56" fillId="2" borderId="0" xfId="42" applyFont="1" applyAlignment="1">
      <alignment horizontal="center" vertical="center"/>
    </xf>
    <xf numFmtId="165" fontId="32" fillId="2" borderId="0" xfId="42" applyFont="1" applyAlignment="1" applyProtection="1">
      <alignment horizontal="left" vertical="top"/>
      <protection locked="0"/>
    </xf>
    <xf numFmtId="165" fontId="36" fillId="2" borderId="0" xfId="42" applyFont="1" applyAlignment="1">
      <alignment horizontal="center" vertical="center"/>
    </xf>
    <xf numFmtId="165" fontId="59" fillId="2" borderId="0" xfId="42" applyFont="1" applyAlignment="1" applyProtection="1">
      <alignment horizontal="left" vertical="top"/>
      <protection locked="0"/>
    </xf>
    <xf numFmtId="0" fontId="66" fillId="0" borderId="31" xfId="42" applyNumberFormat="1" applyFont="1" applyFill="1" applyBorder="1" applyAlignment="1">
      <alignment horizontal="center" vertical="center"/>
    </xf>
    <xf numFmtId="0" fontId="66" fillId="0" borderId="18" xfId="42" applyNumberFormat="1" applyFont="1" applyFill="1" applyBorder="1" applyAlignment="1">
      <alignment horizontal="center" vertical="center"/>
    </xf>
    <xf numFmtId="0" fontId="66" fillId="0" borderId="30" xfId="42" applyNumberFormat="1" applyFont="1" applyFill="1" applyBorder="1" applyAlignment="1">
      <alignment horizontal="center" vertical="center"/>
    </xf>
    <xf numFmtId="165" fontId="66" fillId="0" borderId="31" xfId="42" applyFont="1" applyFill="1" applyBorder="1" applyAlignment="1">
      <alignment horizontal="center" vertical="center"/>
    </xf>
    <xf numFmtId="165" fontId="66" fillId="0" borderId="18" xfId="42" applyFont="1" applyFill="1" applyBorder="1" applyAlignment="1">
      <alignment horizontal="center" vertical="center"/>
    </xf>
    <xf numFmtId="165" fontId="66" fillId="0" borderId="30" xfId="42" applyFont="1" applyFill="1" applyBorder="1" applyAlignment="1">
      <alignment horizontal="center" vertical="center"/>
    </xf>
    <xf numFmtId="165" fontId="67" fillId="0" borderId="37" xfId="42" applyFont="1" applyFill="1" applyBorder="1" applyAlignment="1">
      <alignment horizontal="left" vertical="center"/>
    </xf>
    <xf numFmtId="165" fontId="67" fillId="0" borderId="36" xfId="42" applyFont="1" applyFill="1" applyBorder="1" applyAlignment="1">
      <alignment horizontal="left" vertical="center"/>
    </xf>
    <xf numFmtId="165" fontId="133" fillId="0" borderId="37" xfId="44" applyFont="1" applyFill="1" applyBorder="1" applyAlignment="1" applyProtection="1">
      <alignment horizontal="center" wrapText="1"/>
      <protection locked="0"/>
    </xf>
    <xf numFmtId="165" fontId="133" fillId="0" borderId="35" xfId="44" applyFont="1" applyFill="1" applyBorder="1" applyAlignment="1" applyProtection="1">
      <alignment horizontal="center" wrapText="1"/>
      <protection locked="0"/>
    </xf>
    <xf numFmtId="165" fontId="96" fillId="2" borderId="0" xfId="44" applyFont="1" applyAlignment="1">
      <alignment horizontal="center" vertical="center"/>
    </xf>
    <xf numFmtId="165" fontId="37" fillId="2" borderId="0" xfId="44" applyFont="1" applyAlignment="1">
      <alignment horizontal="center"/>
    </xf>
    <xf numFmtId="165" fontId="107" fillId="2" borderId="50" xfId="44" applyFont="1" applyBorder="1" applyAlignment="1">
      <alignment horizontal="center" vertical="center"/>
    </xf>
    <xf numFmtId="165" fontId="107" fillId="2" borderId="51" xfId="44" applyFont="1" applyBorder="1" applyAlignment="1">
      <alignment horizontal="center" vertical="center"/>
    </xf>
    <xf numFmtId="165" fontId="107" fillId="2" borderId="52" xfId="44" applyFont="1" applyBorder="1" applyAlignment="1">
      <alignment horizontal="center" vertical="center"/>
    </xf>
    <xf numFmtId="0" fontId="32" fillId="2" borderId="55" xfId="44" applyNumberFormat="1" applyFont="1" applyBorder="1" applyAlignment="1">
      <alignment horizontal="center" vertical="center"/>
    </xf>
    <xf numFmtId="175" fontId="105" fillId="2" borderId="37" xfId="44" applyNumberFormat="1" applyFont="1" applyBorder="1" applyAlignment="1" applyProtection="1">
      <alignment horizontal="center"/>
      <protection locked="0"/>
    </xf>
    <xf numFmtId="175" fontId="105" fillId="2" borderId="35" xfId="44" applyNumberFormat="1" applyFont="1" applyBorder="1" applyAlignment="1" applyProtection="1">
      <alignment horizontal="center"/>
      <protection locked="0"/>
    </xf>
    <xf numFmtId="165" fontId="97" fillId="2" borderId="37" xfId="44" applyFont="1" applyBorder="1" applyAlignment="1" applyProtection="1">
      <alignment horizontal="center"/>
      <protection locked="0"/>
    </xf>
    <xf numFmtId="165" fontId="97" fillId="2" borderId="35" xfId="44" applyFont="1" applyBorder="1" applyAlignment="1" applyProtection="1">
      <alignment horizontal="center"/>
      <protection locked="0"/>
    </xf>
    <xf numFmtId="165" fontId="100" fillId="2" borderId="37" xfId="44" applyFont="1" applyBorder="1" applyAlignment="1" applyProtection="1">
      <alignment horizontal="center"/>
      <protection locked="0"/>
    </xf>
    <xf numFmtId="165" fontId="100" fillId="2" borderId="35" xfId="44" applyFont="1" applyBorder="1" applyAlignment="1" applyProtection="1">
      <alignment horizontal="center"/>
      <protection locked="0"/>
    </xf>
    <xf numFmtId="173" fontId="106" fillId="2" borderId="37" xfId="44" applyNumberFormat="1" applyFont="1" applyBorder="1" applyAlignment="1" applyProtection="1">
      <alignment horizontal="center"/>
      <protection locked="0"/>
    </xf>
    <xf numFmtId="173" fontId="106" fillId="2" borderId="35" xfId="44" applyNumberFormat="1" applyFont="1" applyBorder="1" applyAlignment="1" applyProtection="1">
      <alignment horizontal="center"/>
      <protection locked="0"/>
    </xf>
    <xf numFmtId="164" fontId="106" fillId="2" borderId="37" xfId="44" applyNumberFormat="1" applyFont="1" applyBorder="1" applyAlignment="1" applyProtection="1">
      <alignment horizontal="center"/>
      <protection locked="0"/>
    </xf>
    <xf numFmtId="164" fontId="106" fillId="2" borderId="35" xfId="44" applyNumberFormat="1" applyFont="1" applyBorder="1" applyAlignment="1" applyProtection="1">
      <alignment horizontal="center"/>
      <protection locked="0"/>
    </xf>
    <xf numFmtId="0" fontId="144" fillId="0" borderId="108" xfId="48" applyBorder="1" applyAlignment="1" applyProtection="1">
      <alignment horizontal="left"/>
      <protection locked="0"/>
    </xf>
    <xf numFmtId="0" fontId="144" fillId="0" borderId="109" xfId="48" applyBorder="1" applyAlignment="1" applyProtection="1">
      <alignment horizontal="left"/>
      <protection locked="0"/>
    </xf>
    <xf numFmtId="0" fontId="158" fillId="0" borderId="95" xfId="48" applyFont="1" applyBorder="1" applyAlignment="1" applyProtection="1">
      <alignment horizontal="left"/>
      <protection locked="0"/>
    </xf>
    <xf numFmtId="0" fontId="158" fillId="0" borderId="1" xfId="48" applyFont="1" applyBorder="1" applyAlignment="1" applyProtection="1">
      <alignment horizontal="left"/>
      <protection locked="0"/>
    </xf>
    <xf numFmtId="183" fontId="144" fillId="0" borderId="0" xfId="48" applyNumberFormat="1" applyAlignment="1" applyProtection="1">
      <alignment horizontal="left"/>
      <protection locked="0"/>
    </xf>
    <xf numFmtId="0" fontId="144" fillId="0" borderId="0" xfId="48" applyAlignment="1">
      <alignment horizontal="left"/>
    </xf>
    <xf numFmtId="0" fontId="160" fillId="0" borderId="96" xfId="48" applyFont="1" applyBorder="1" applyAlignment="1" applyProtection="1">
      <alignment horizontal="left"/>
      <protection locked="0"/>
    </xf>
    <xf numFmtId="0" fontId="160" fillId="0" borderId="18" xfId="48" applyFont="1" applyBorder="1" applyAlignment="1" applyProtection="1">
      <alignment horizontal="left"/>
      <protection locked="0"/>
    </xf>
    <xf numFmtId="0" fontId="161" fillId="0" borderId="96" xfId="48" applyFont="1" applyBorder="1" applyAlignment="1" applyProtection="1">
      <alignment horizontal="left"/>
      <protection locked="0"/>
    </xf>
    <xf numFmtId="0" fontId="161" fillId="0" borderId="18" xfId="48" applyFont="1" applyBorder="1" applyAlignment="1" applyProtection="1">
      <alignment horizontal="left"/>
      <protection locked="0"/>
    </xf>
    <xf numFmtId="0" fontId="162" fillId="0" borderId="96" xfId="48" applyFont="1" applyBorder="1" applyAlignment="1" applyProtection="1">
      <alignment horizontal="left"/>
      <protection locked="0"/>
    </xf>
    <xf numFmtId="0" fontId="162" fillId="0" borderId="18" xfId="48" applyFont="1" applyBorder="1" applyAlignment="1" applyProtection="1">
      <alignment horizontal="left"/>
      <protection locked="0"/>
    </xf>
    <xf numFmtId="0" fontId="163" fillId="0" borderId="96" xfId="48" applyFont="1" applyBorder="1" applyAlignment="1" applyProtection="1">
      <alignment horizontal="left"/>
      <protection locked="0"/>
    </xf>
    <xf numFmtId="0" fontId="163" fillId="0" borderId="18" xfId="48" applyFont="1" applyBorder="1" applyAlignment="1" applyProtection="1">
      <alignment horizontal="left"/>
      <protection locked="0"/>
    </xf>
    <xf numFmtId="3" fontId="164" fillId="0" borderId="79" xfId="48" applyNumberFormat="1" applyFont="1" applyBorder="1" applyAlignment="1" applyProtection="1">
      <alignment horizontal="center"/>
      <protection locked="0"/>
    </xf>
    <xf numFmtId="3" fontId="164" fillId="0" borderId="107" xfId="48" applyNumberFormat="1" applyFont="1" applyBorder="1" applyAlignment="1" applyProtection="1">
      <alignment horizontal="center"/>
      <protection locked="0"/>
    </xf>
    <xf numFmtId="0" fontId="157" fillId="44" borderId="101" xfId="48" applyFont="1" applyFill="1" applyBorder="1" applyAlignment="1">
      <alignment horizontal="center" vertical="center"/>
    </xf>
    <xf numFmtId="0" fontId="157" fillId="44" borderId="2" xfId="48" applyFont="1" applyFill="1" applyBorder="1" applyAlignment="1">
      <alignment horizontal="center" vertical="center"/>
    </xf>
    <xf numFmtId="0" fontId="157" fillId="44" borderId="102" xfId="48" applyFont="1" applyFill="1" applyBorder="1" applyAlignment="1">
      <alignment horizontal="center" vertical="center"/>
    </xf>
    <xf numFmtId="0" fontId="151" fillId="0" borderId="95" xfId="48" applyFont="1" applyBorder="1" applyAlignment="1" applyProtection="1">
      <alignment horizontal="left"/>
      <protection locked="0"/>
    </xf>
    <xf numFmtId="0" fontId="151" fillId="0" borderId="1" xfId="48" applyFont="1" applyBorder="1" applyAlignment="1" applyProtection="1">
      <alignment horizontal="left"/>
      <protection locked="0"/>
    </xf>
    <xf numFmtId="0" fontId="151" fillId="0" borderId="96" xfId="48" applyFont="1" applyBorder="1" applyAlignment="1" applyProtection="1">
      <alignment horizontal="left"/>
      <protection locked="0"/>
    </xf>
    <xf numFmtId="0" fontId="151" fillId="0" borderId="18" xfId="48" applyFont="1" applyBorder="1" applyAlignment="1" applyProtection="1">
      <alignment horizontal="left"/>
      <protection locked="0"/>
    </xf>
    <xf numFmtId="0" fontId="144" fillId="0" borderId="18" xfId="48" applyBorder="1" applyAlignment="1" applyProtection="1">
      <alignment horizontal="left"/>
      <protection locked="0"/>
    </xf>
    <xf numFmtId="0" fontId="148" fillId="44" borderId="87" xfId="48" applyFont="1" applyFill="1" applyBorder="1"/>
    <xf numFmtId="0" fontId="148" fillId="44" borderId="0" xfId="48" applyFont="1" applyFill="1"/>
    <xf numFmtId="0" fontId="156" fillId="0" borderId="18" xfId="48" applyFont="1" applyBorder="1" applyAlignment="1" applyProtection="1">
      <alignment horizontal="left"/>
      <protection locked="0"/>
    </xf>
    <xf numFmtId="0" fontId="144" fillId="0" borderId="95" xfId="48" applyBorder="1" applyAlignment="1" applyProtection="1">
      <alignment horizontal="left"/>
      <protection locked="0"/>
    </xf>
    <xf numFmtId="0" fontId="144" fillId="0" borderId="1" xfId="48" applyBorder="1" applyAlignment="1" applyProtection="1">
      <alignment horizontal="left"/>
      <protection locked="0"/>
    </xf>
    <xf numFmtId="0" fontId="148" fillId="0" borderId="18" xfId="48" applyFont="1" applyBorder="1" applyAlignment="1" applyProtection="1">
      <alignment horizontal="left"/>
      <protection locked="0"/>
    </xf>
    <xf numFmtId="0" fontId="144" fillId="0" borderId="87" xfId="48" applyBorder="1" applyAlignment="1" applyProtection="1">
      <alignment horizontal="left"/>
      <protection locked="0"/>
    </xf>
    <xf numFmtId="0" fontId="144" fillId="0" borderId="0" xfId="48" applyAlignment="1" applyProtection="1">
      <alignment horizontal="left"/>
      <protection locked="0"/>
    </xf>
    <xf numFmtId="3" fontId="144" fillId="0" borderId="1" xfId="48" applyNumberFormat="1" applyBorder="1" applyAlignment="1">
      <alignment horizontal="center"/>
    </xf>
    <xf numFmtId="164" fontId="153" fillId="0" borderId="1" xfId="48" applyNumberFormat="1" applyFont="1" applyBorder="1" applyAlignment="1">
      <alignment horizontal="center"/>
    </xf>
    <xf numFmtId="0" fontId="146" fillId="0" borderId="0" xfId="48" applyFont="1" applyAlignment="1">
      <alignment horizontal="center" vertical="center"/>
    </xf>
    <xf numFmtId="49" fontId="146" fillId="0" borderId="0" xfId="48" applyNumberFormat="1" applyFont="1" applyAlignment="1">
      <alignment horizontal="center" vertical="center"/>
    </xf>
    <xf numFmtId="0" fontId="148" fillId="0" borderId="84" xfId="48" applyFont="1" applyBorder="1" applyAlignment="1">
      <alignment horizontal="center" vertical="center"/>
    </xf>
    <xf numFmtId="0" fontId="144" fillId="0" borderId="84" xfId="48" applyBorder="1" applyAlignment="1">
      <alignment horizontal="center" vertical="center"/>
    </xf>
    <xf numFmtId="0" fontId="148" fillId="0" borderId="85" xfId="48" applyFont="1" applyBorder="1" applyAlignment="1">
      <alignment horizontal="center"/>
    </xf>
    <xf numFmtId="0" fontId="148" fillId="0" borderId="84" xfId="48" applyFont="1" applyBorder="1" applyAlignment="1">
      <alignment horizontal="center"/>
    </xf>
    <xf numFmtId="0" fontId="148" fillId="0" borderId="86" xfId="48" applyFont="1" applyBorder="1" applyAlignment="1">
      <alignment horizontal="center"/>
    </xf>
    <xf numFmtId="0" fontId="144" fillId="0" borderId="87" xfId="48" applyBorder="1" applyAlignment="1">
      <alignment horizontal="left"/>
    </xf>
    <xf numFmtId="0" fontId="144" fillId="0" borderId="2" xfId="48" applyBorder="1" applyAlignment="1" applyProtection="1">
      <alignment horizontal="center" wrapText="1"/>
      <protection locked="0"/>
    </xf>
    <xf numFmtId="0" fontId="144" fillId="0" borderId="1" xfId="48" applyBorder="1" applyAlignment="1">
      <alignment horizontal="center" wrapText="1"/>
    </xf>
    <xf numFmtId="177" fontId="0" fillId="0" borderId="55" xfId="0" applyNumberFormat="1" applyBorder="1" applyAlignment="1">
      <alignment horizontal="center" vertical="center"/>
    </xf>
    <xf numFmtId="5" fontId="0" fillId="0" borderId="55" xfId="0" applyNumberFormat="1" applyBorder="1" applyAlignment="1">
      <alignment horizontal="center" vertical="center" shrinkToFit="1"/>
    </xf>
    <xf numFmtId="39" fontId="0" fillId="0" borderId="55" xfId="0" applyNumberFormat="1" applyBorder="1" applyAlignment="1">
      <alignment horizontal="center" vertical="center"/>
    </xf>
    <xf numFmtId="177" fontId="0" fillId="0" borderId="56" xfId="0" applyNumberFormat="1" applyBorder="1" applyAlignment="1">
      <alignment horizontal="center" vertical="center"/>
    </xf>
    <xf numFmtId="177" fontId="0" fillId="0" borderId="73" xfId="0" applyNumberFormat="1" applyBorder="1" applyAlignment="1">
      <alignment horizontal="center" vertical="center"/>
    </xf>
    <xf numFmtId="5" fontId="0" fillId="0" borderId="56" xfId="0" applyNumberFormat="1" applyBorder="1" applyAlignment="1">
      <alignment horizontal="center" vertical="center"/>
    </xf>
    <xf numFmtId="5" fontId="0" fillId="0" borderId="73" xfId="0" applyNumberFormat="1" applyBorder="1" applyAlignment="1">
      <alignment horizontal="center" vertical="center"/>
    </xf>
    <xf numFmtId="39" fontId="0" fillId="0" borderId="56" xfId="0" applyNumberFormat="1" applyBorder="1" applyAlignment="1">
      <alignment horizontal="center" vertical="center"/>
    </xf>
    <xf numFmtId="39" fontId="0" fillId="0" borderId="73" xfId="0" applyNumberFormat="1" applyBorder="1" applyAlignment="1">
      <alignment horizontal="center" vertical="center"/>
    </xf>
    <xf numFmtId="0" fontId="0" fillId="0" borderId="56" xfId="0" applyBorder="1" applyAlignment="1">
      <alignment horizontal="center" vertical="center" wrapText="1"/>
    </xf>
    <xf numFmtId="0" fontId="0" fillId="0" borderId="73" xfId="0" applyBorder="1" applyAlignment="1">
      <alignment horizontal="center" vertical="center" wrapText="1"/>
    </xf>
    <xf numFmtId="164" fontId="0" fillId="0" borderId="56" xfId="0" applyNumberFormat="1" applyBorder="1" applyAlignment="1">
      <alignment horizontal="center" vertical="center" wrapText="1"/>
    </xf>
    <xf numFmtId="164" fontId="0" fillId="0" borderId="73" xfId="0" applyNumberFormat="1" applyBorder="1" applyAlignment="1">
      <alignment horizontal="center" vertical="center" wrapText="1"/>
    </xf>
    <xf numFmtId="0" fontId="0" fillId="0" borderId="44" xfId="0" applyBorder="1" applyAlignment="1">
      <alignment horizontal="center" vertical="center" wrapText="1"/>
    </xf>
    <xf numFmtId="0" fontId="0" fillId="0" borderId="81" xfId="0" applyBorder="1" applyAlignment="1">
      <alignment horizontal="center" vertical="center" wrapText="1"/>
    </xf>
    <xf numFmtId="0" fontId="0" fillId="0" borderId="45" xfId="0" applyBorder="1" applyAlignment="1">
      <alignment horizontal="center" vertical="center" wrapText="1"/>
    </xf>
    <xf numFmtId="0" fontId="0" fillId="0" borderId="71" xfId="0" applyBorder="1" applyAlignment="1">
      <alignment horizontal="center" vertical="center" wrapText="1"/>
    </xf>
    <xf numFmtId="0" fontId="0" fillId="0" borderId="79" xfId="0" applyBorder="1" applyAlignment="1">
      <alignment horizontal="center" vertical="center" wrapText="1"/>
    </xf>
    <xf numFmtId="0" fontId="0" fillId="0" borderId="82" xfId="0" applyBorder="1" applyAlignment="1">
      <alignment horizontal="center" vertical="center" wrapText="1"/>
    </xf>
    <xf numFmtId="0" fontId="0" fillId="0" borderId="0" xfId="0" applyAlignment="1">
      <alignment wrapText="1"/>
    </xf>
    <xf numFmtId="0" fontId="79" fillId="0" borderId="0" xfId="45" applyAlignment="1">
      <alignment horizontal="center"/>
    </xf>
    <xf numFmtId="0" fontId="0" fillId="0" borderId="0" xfId="0" applyAlignment="1">
      <alignment horizontal="center"/>
    </xf>
    <xf numFmtId="0" fontId="117" fillId="0" borderId="0" xfId="0" applyFont="1" applyAlignment="1">
      <alignment horizontal="center" vertical="center"/>
    </xf>
    <xf numFmtId="0" fontId="116" fillId="0" borderId="0" xfId="0" applyFont="1" applyAlignment="1">
      <alignment horizontal="center"/>
    </xf>
    <xf numFmtId="0" fontId="119" fillId="0" borderId="0" xfId="46" applyFont="1" applyAlignment="1">
      <alignment horizontal="left"/>
    </xf>
    <xf numFmtId="0" fontId="0" fillId="0" borderId="0" xfId="0"/>
    <xf numFmtId="6" fontId="130" fillId="0" borderId="0" xfId="46" applyNumberFormat="1" applyFont="1" applyAlignment="1">
      <alignment horizontal="left"/>
    </xf>
    <xf numFmtId="0" fontId="84" fillId="0" borderId="0" xfId="0" applyFont="1" applyAlignment="1">
      <alignment horizontal="left"/>
    </xf>
    <xf numFmtId="0" fontId="129" fillId="0" borderId="0" xfId="46" applyFont="1" applyAlignment="1">
      <alignment horizontal="center"/>
    </xf>
    <xf numFmtId="0" fontId="44" fillId="0" borderId="0" xfId="0" applyFont="1" applyAlignment="1">
      <alignment horizontal="center"/>
    </xf>
    <xf numFmtId="0" fontId="119" fillId="0" borderId="0" xfId="46" applyFont="1" applyAlignment="1">
      <alignment horizontal="left" vertical="top" wrapText="1"/>
    </xf>
    <xf numFmtId="0" fontId="119" fillId="0" borderId="0" xfId="46" applyFont="1" applyAlignment="1">
      <alignment vertical="top" wrapText="1"/>
    </xf>
    <xf numFmtId="0" fontId="119" fillId="0" borderId="0" xfId="46" applyFont="1" applyAlignment="1">
      <alignment horizontal="left" vertical="center" wrapText="1"/>
    </xf>
    <xf numFmtId="5" fontId="119" fillId="0" borderId="0" xfId="46" applyNumberFormat="1" applyFont="1" applyAlignment="1">
      <alignment horizontal="left"/>
    </xf>
    <xf numFmtId="5" fontId="119" fillId="0" borderId="0" xfId="46" applyNumberFormat="1" applyFont="1" applyAlignment="1">
      <alignment horizontal="center"/>
    </xf>
    <xf numFmtId="0" fontId="119" fillId="0" borderId="0" xfId="46" applyFont="1" applyAlignment="1">
      <alignment horizontal="center"/>
    </xf>
    <xf numFmtId="6" fontId="119" fillId="0" borderId="0" xfId="46" applyNumberFormat="1" applyFont="1" applyAlignment="1">
      <alignment horizontal="left"/>
    </xf>
    <xf numFmtId="0" fontId="4" fillId="0" borderId="0" xfId="0" applyFont="1" applyAlignment="1">
      <alignment horizontal="left"/>
    </xf>
    <xf numFmtId="0" fontId="127" fillId="0" borderId="0" xfId="46" applyFont="1" applyAlignment="1">
      <alignment horizontal="left"/>
    </xf>
    <xf numFmtId="0" fontId="49" fillId="0" borderId="0" xfId="0" applyFont="1"/>
    <xf numFmtId="6" fontId="128" fillId="0" borderId="0" xfId="46" applyNumberFormat="1" applyFont="1" applyAlignment="1">
      <alignment horizontal="left"/>
    </xf>
    <xf numFmtId="0" fontId="24" fillId="0" borderId="0" xfId="0" applyFont="1" applyAlignment="1">
      <alignment horizontal="left"/>
    </xf>
    <xf numFmtId="0" fontId="131" fillId="0" borderId="0" xfId="46" applyFont="1" applyAlignment="1">
      <alignment horizontal="center"/>
    </xf>
    <xf numFmtId="0" fontId="53" fillId="0" borderId="0" xfId="0" applyFont="1" applyAlignment="1">
      <alignment horizontal="center"/>
    </xf>
    <xf numFmtId="0" fontId="0" fillId="0" borderId="0" xfId="0" applyAlignment="1">
      <alignment horizontal="left" vertical="center" wrapText="1"/>
    </xf>
    <xf numFmtId="0" fontId="1" fillId="0" borderId="0" xfId="0" applyFont="1" applyAlignment="1" applyProtection="1">
      <alignment horizontal="left"/>
      <protection locked="0"/>
    </xf>
    <xf numFmtId="0" fontId="1" fillId="0" borderId="0" xfId="0" applyFont="1" applyAlignment="1" applyProtection="1">
      <alignment horizontal="left" wrapText="1"/>
      <protection locked="0"/>
    </xf>
    <xf numFmtId="0" fontId="0" fillId="0" borderId="0" xfId="0" applyAlignment="1" applyProtection="1">
      <alignment horizontal="left"/>
      <protection locked="0"/>
    </xf>
    <xf numFmtId="0" fontId="0" fillId="0" borderId="0" xfId="0" applyAlignment="1">
      <alignment horizontal="left"/>
    </xf>
    <xf numFmtId="0" fontId="1" fillId="0" borderId="43" xfId="0" applyFont="1" applyBorder="1" applyAlignment="1">
      <alignment horizontal="center"/>
    </xf>
    <xf numFmtId="0" fontId="1" fillId="0" borderId="68" xfId="0" applyFont="1" applyBorder="1" applyAlignment="1">
      <alignment horizontal="center"/>
    </xf>
    <xf numFmtId="0" fontId="1" fillId="0" borderId="67" xfId="0" applyFont="1" applyBorder="1" applyAlignment="1">
      <alignment horizontal="center"/>
    </xf>
    <xf numFmtId="0" fontId="5" fillId="0" borderId="0" xfId="0" applyFont="1" applyAlignment="1">
      <alignment horizontal="center"/>
    </xf>
    <xf numFmtId="14" fontId="6" fillId="0" borderId="0" xfId="0" applyNumberFormat="1" applyFont="1" applyAlignment="1">
      <alignment horizontal="center"/>
    </xf>
    <xf numFmtId="0" fontId="0" fillId="0" borderId="65" xfId="0" applyBorder="1" applyAlignment="1">
      <alignment horizontal="center" vertical="center" wrapText="1"/>
    </xf>
    <xf numFmtId="14" fontId="6" fillId="0" borderId="65" xfId="0" applyNumberFormat="1" applyFont="1" applyBorder="1" applyAlignment="1">
      <alignment horizontal="center" vertical="center"/>
    </xf>
    <xf numFmtId="0" fontId="1" fillId="0" borderId="67" xfId="0" applyFont="1" applyBorder="1" applyAlignment="1">
      <alignment horizontal="center" vertical="center"/>
    </xf>
    <xf numFmtId="0" fontId="1" fillId="0" borderId="43" xfId="0" applyFont="1" applyBorder="1" applyAlignment="1">
      <alignment horizontal="center" vertical="center"/>
    </xf>
    <xf numFmtId="0" fontId="1" fillId="0" borderId="68" xfId="0" applyFont="1" applyBorder="1" applyAlignment="1">
      <alignment horizontal="center" vertical="center"/>
    </xf>
    <xf numFmtId="2" fontId="0" fillId="0" borderId="0" xfId="0" applyNumberFormat="1" applyAlignment="1">
      <alignment horizontal="right"/>
    </xf>
    <xf numFmtId="2" fontId="0" fillId="0" borderId="69" xfId="0" applyNumberFormat="1" applyBorder="1" applyAlignment="1">
      <alignment horizontal="right"/>
    </xf>
    <xf numFmtId="3" fontId="0" fillId="0" borderId="0" xfId="0" applyNumberFormat="1" applyAlignment="1">
      <alignment horizontal="right" shrinkToFit="1"/>
    </xf>
    <xf numFmtId="3" fontId="0" fillId="0" borderId="69" xfId="0" applyNumberFormat="1" applyBorder="1" applyAlignment="1">
      <alignment horizontal="right" shrinkToFit="1"/>
    </xf>
    <xf numFmtId="0" fontId="0" fillId="0" borderId="64" xfId="0" applyBorder="1" applyAlignment="1">
      <alignment horizontal="left" vertical="center" shrinkToFit="1"/>
    </xf>
    <xf numFmtId="0" fontId="0" fillId="0" borderId="65" xfId="0" applyBorder="1" applyAlignment="1">
      <alignment horizontal="left" vertical="center" shrinkToFit="1"/>
    </xf>
    <xf numFmtId="0" fontId="0" fillId="0" borderId="66" xfId="0" applyBorder="1" applyAlignment="1">
      <alignment horizontal="left" vertical="center" shrinkToFit="1"/>
    </xf>
    <xf numFmtId="9" fontId="0" fillId="0" borderId="0" xfId="0" applyNumberFormat="1" applyAlignment="1">
      <alignment horizontal="right"/>
    </xf>
    <xf numFmtId="9" fontId="0" fillId="0" borderId="69" xfId="0" applyNumberFormat="1" applyBorder="1" applyAlignment="1">
      <alignment horizontal="right"/>
    </xf>
    <xf numFmtId="4" fontId="0" fillId="0" borderId="0" xfId="0" applyNumberFormat="1" applyAlignment="1" applyProtection="1">
      <alignment horizontal="right"/>
      <protection locked="0"/>
    </xf>
    <xf numFmtId="4" fontId="0" fillId="0" borderId="69" xfId="0" applyNumberFormat="1" applyBorder="1" applyAlignment="1" applyProtection="1">
      <alignment horizontal="right"/>
      <protection locked="0"/>
    </xf>
    <xf numFmtId="0" fontId="6" fillId="0" borderId="0" xfId="0" applyFont="1" applyAlignment="1">
      <alignment horizontal="left" vertical="top"/>
    </xf>
    <xf numFmtId="0" fontId="0" fillId="0" borderId="64" xfId="0" applyBorder="1" applyAlignment="1">
      <alignment horizontal="right" vertical="center"/>
    </xf>
    <xf numFmtId="0" fontId="0" fillId="0" borderId="65" xfId="0" applyBorder="1" applyAlignment="1">
      <alignment horizontal="right" vertical="center"/>
    </xf>
    <xf numFmtId="0" fontId="0" fillId="0" borderId="66" xfId="0" applyBorder="1" applyAlignment="1">
      <alignment horizontal="right" vertical="center"/>
    </xf>
    <xf numFmtId="3" fontId="0" fillId="0" borderId="64" xfId="0" applyNumberFormat="1" applyBorder="1" applyAlignment="1">
      <alignment horizontal="right" vertical="center" shrinkToFit="1"/>
    </xf>
    <xf numFmtId="3" fontId="0" fillId="0" borderId="65" xfId="0" applyNumberFormat="1" applyBorder="1" applyAlignment="1">
      <alignment horizontal="right" vertical="center" shrinkToFit="1"/>
    </xf>
    <xf numFmtId="3" fontId="0" fillId="0" borderId="66" xfId="0" applyNumberFormat="1" applyBorder="1" applyAlignment="1">
      <alignment horizontal="right" vertical="center" shrinkToFit="1"/>
    </xf>
    <xf numFmtId="7" fontId="0" fillId="0" borderId="64" xfId="0" applyNumberFormat="1" applyBorder="1" applyAlignment="1">
      <alignment horizontal="right" vertical="center"/>
    </xf>
    <xf numFmtId="4" fontId="0" fillId="0" borderId="64" xfId="0" applyNumberFormat="1" applyBorder="1" applyAlignment="1">
      <alignment horizontal="right" vertical="center"/>
    </xf>
    <xf numFmtId="4" fontId="0" fillId="0" borderId="65" xfId="0" applyNumberFormat="1" applyBorder="1" applyAlignment="1">
      <alignment horizontal="right" vertical="center"/>
    </xf>
    <xf numFmtId="4" fontId="0" fillId="0" borderId="66" xfId="0" applyNumberFormat="1" applyBorder="1" applyAlignment="1">
      <alignment horizontal="right" vertical="center"/>
    </xf>
    <xf numFmtId="10" fontId="0" fillId="0" borderId="64" xfId="0" applyNumberFormat="1" applyBorder="1" applyAlignment="1">
      <alignment horizontal="center" vertical="center" shrinkToFit="1"/>
    </xf>
    <xf numFmtId="10" fontId="0" fillId="0" borderId="66" xfId="0" applyNumberFormat="1" applyBorder="1" applyAlignment="1">
      <alignment horizontal="center" vertical="center" shrinkToFit="1"/>
    </xf>
    <xf numFmtId="0" fontId="3" fillId="0" borderId="0" xfId="0" applyFont="1" applyAlignment="1">
      <alignment horizontal="center"/>
    </xf>
    <xf numFmtId="0" fontId="5" fillId="0" borderId="43" xfId="0" applyFont="1" applyBorder="1" applyAlignment="1">
      <alignment horizontal="center" vertical="center"/>
    </xf>
    <xf numFmtId="0" fontId="132" fillId="0" borderId="0" xfId="0" applyFont="1" applyAlignment="1">
      <alignment horizontal="center"/>
    </xf>
    <xf numFmtId="3" fontId="0" fillId="0" borderId="64" xfId="0" applyNumberFormat="1" applyBorder="1" applyAlignment="1">
      <alignment horizontal="center"/>
    </xf>
    <xf numFmtId="3" fontId="0" fillId="0" borderId="65" xfId="0" applyNumberFormat="1" applyBorder="1" applyAlignment="1">
      <alignment horizontal="center"/>
    </xf>
    <xf numFmtId="3" fontId="0" fillId="0" borderId="66" xfId="0" applyNumberFormat="1" applyBorder="1" applyAlignment="1">
      <alignment horizontal="center"/>
    </xf>
    <xf numFmtId="3" fontId="6" fillId="0" borderId="0" xfId="0" applyNumberFormat="1" applyFont="1" applyAlignment="1">
      <alignment horizontal="right" shrinkToFit="1"/>
    </xf>
    <xf numFmtId="4" fontId="6" fillId="0" borderId="0" xfId="0" applyNumberFormat="1" applyFont="1" applyAlignment="1">
      <alignment horizontal="right"/>
    </xf>
    <xf numFmtId="3" fontId="6" fillId="0" borderId="0" xfId="0" applyNumberFormat="1" applyFont="1" applyAlignment="1">
      <alignment horizontal="right"/>
    </xf>
    <xf numFmtId="1" fontId="0" fillId="0" borderId="64" xfId="0" applyNumberFormat="1" applyBorder="1" applyAlignment="1">
      <alignment horizontal="center"/>
    </xf>
    <xf numFmtId="1" fontId="0" fillId="0" borderId="65" xfId="0" applyNumberFormat="1" applyBorder="1" applyAlignment="1">
      <alignment horizontal="center"/>
    </xf>
    <xf numFmtId="1" fontId="0" fillId="0" borderId="66" xfId="0" applyNumberFormat="1" applyBorder="1" applyAlignment="1">
      <alignment horizontal="center"/>
    </xf>
    <xf numFmtId="3" fontId="6" fillId="0" borderId="43" xfId="0" applyNumberFormat="1" applyFont="1" applyBorder="1" applyAlignment="1">
      <alignment horizontal="right" vertical="center"/>
    </xf>
    <xf numFmtId="3" fontId="6" fillId="0" borderId="65" xfId="0" applyNumberFormat="1" applyFont="1" applyBorder="1" applyAlignment="1">
      <alignment horizontal="right" vertical="center" shrinkToFit="1"/>
    </xf>
    <xf numFmtId="0" fontId="0" fillId="0" borderId="65" xfId="0" applyBorder="1" applyAlignment="1">
      <alignment horizontal="center" vertical="center"/>
    </xf>
    <xf numFmtId="2" fontId="24" fillId="0" borderId="0" xfId="0" applyNumberFormat="1" applyFont="1" applyAlignment="1">
      <alignment horizontal="center" vertical="center"/>
    </xf>
    <xf numFmtId="0" fontId="141" fillId="42" borderId="75" xfId="0" applyFont="1" applyFill="1" applyBorder="1" applyAlignment="1">
      <alignment horizontal="center"/>
    </xf>
    <xf numFmtId="0" fontId="6" fillId="0" borderId="122" xfId="0" applyFont="1" applyFill="1" applyBorder="1" applyAlignment="1">
      <alignment horizontal="center" vertical="center"/>
    </xf>
    <xf numFmtId="3" fontId="6" fillId="0" borderId="122" xfId="0" applyNumberFormat="1" applyFont="1" applyFill="1" applyBorder="1" applyAlignment="1">
      <alignment horizontal="center" vertical="center"/>
    </xf>
    <xf numFmtId="180" fontId="6" fillId="0" borderId="122" xfId="0" applyNumberFormat="1" applyFont="1" applyFill="1" applyBorder="1" applyAlignment="1">
      <alignment horizontal="center" vertical="center"/>
    </xf>
    <xf numFmtId="0" fontId="23" fillId="0" borderId="0" xfId="0" applyFont="1" applyFill="1" applyBorder="1" applyAlignment="1">
      <alignment horizontal="center"/>
    </xf>
    <xf numFmtId="0" fontId="23" fillId="0" borderId="0" xfId="0" applyFont="1" applyFill="1" applyBorder="1" applyAlignment="1">
      <alignment horizontal="center" vertical="center"/>
    </xf>
    <xf numFmtId="0" fontId="0" fillId="0" borderId="0" xfId="0" applyFill="1" applyBorder="1"/>
    <xf numFmtId="0" fontId="0" fillId="0" borderId="0" xfId="0" applyFill="1" applyBorder="1" applyAlignment="1">
      <alignment horizontal="center" vertical="center"/>
    </xf>
    <xf numFmtId="3" fontId="1" fillId="0" borderId="0" xfId="0" applyNumberFormat="1" applyFont="1" applyFill="1" applyBorder="1"/>
    <xf numFmtId="0" fontId="1" fillId="0" borderId="0" xfId="0" applyFont="1" applyFill="1" applyBorder="1"/>
    <xf numFmtId="0" fontId="1" fillId="0" borderId="0" xfId="0" applyFont="1" applyFill="1" applyBorder="1" applyAlignment="1">
      <alignment horizontal="center"/>
    </xf>
    <xf numFmtId="0" fontId="6" fillId="0" borderId="0" xfId="0" applyFont="1" applyFill="1" applyBorder="1" applyAlignment="1">
      <alignment horizontal="center"/>
    </xf>
    <xf numFmtId="3" fontId="1" fillId="0" borderId="0" xfId="0" applyNumberFormat="1" applyFont="1" applyFill="1" applyBorder="1" applyAlignment="1">
      <alignment horizontal="center" vertical="center"/>
    </xf>
    <xf numFmtId="0" fontId="1" fillId="0" borderId="0" xfId="0" applyFont="1" applyFill="1" applyBorder="1" applyAlignment="1">
      <alignment horizontal="center" vertical="center"/>
    </xf>
    <xf numFmtId="169" fontId="6" fillId="0" borderId="0" xfId="0" applyNumberFormat="1" applyFont="1" applyFill="1" applyBorder="1" applyAlignment="1">
      <alignment horizontal="center"/>
    </xf>
    <xf numFmtId="164" fontId="6" fillId="0" borderId="0" xfId="0" applyNumberFormat="1" applyFont="1" applyFill="1" applyBorder="1" applyAlignment="1">
      <alignment horizontal="center"/>
    </xf>
    <xf numFmtId="3" fontId="6" fillId="0" borderId="0" xfId="0" applyNumberFormat="1" applyFont="1" applyFill="1" applyBorder="1" applyAlignment="1">
      <alignment horizontal="center"/>
    </xf>
    <xf numFmtId="2" fontId="6" fillId="0" borderId="0" xfId="0" applyNumberFormat="1" applyFont="1" applyFill="1" applyBorder="1" applyAlignment="1">
      <alignment horizontal="center"/>
    </xf>
    <xf numFmtId="2" fontId="6" fillId="0" borderId="0" xfId="0" applyNumberFormat="1" applyFont="1" applyFill="1" applyBorder="1" applyAlignment="1">
      <alignment horizontal="center" wrapText="1"/>
    </xf>
    <xf numFmtId="0" fontId="6" fillId="0" borderId="0" xfId="0" applyFont="1" applyFill="1" applyBorder="1" applyAlignment="1">
      <alignment horizontal="center" vertical="center"/>
    </xf>
    <xf numFmtId="0" fontId="6" fillId="0" borderId="0" xfId="0" applyFont="1" applyFill="1" applyBorder="1" applyAlignment="1">
      <alignment horizontal="center" vertical="center" wrapText="1"/>
    </xf>
    <xf numFmtId="169" fontId="6" fillId="0" borderId="0" xfId="0" applyNumberFormat="1" applyFont="1" applyFill="1" applyBorder="1" applyAlignment="1">
      <alignment horizontal="center" vertical="center" wrapText="1"/>
    </xf>
    <xf numFmtId="164" fontId="6" fillId="0" borderId="0" xfId="0" applyNumberFormat="1" applyFont="1" applyFill="1" applyBorder="1" applyAlignment="1">
      <alignment horizontal="center" vertical="center" wrapText="1"/>
    </xf>
    <xf numFmtId="3" fontId="6" fillId="0" borderId="0" xfId="0" applyNumberFormat="1" applyFont="1" applyFill="1" applyBorder="1" applyAlignment="1">
      <alignment horizontal="center" vertical="center" wrapText="1"/>
    </xf>
    <xf numFmtId="2" fontId="6" fillId="0" borderId="0" xfId="0" applyNumberFormat="1" applyFont="1" applyFill="1" applyBorder="1" applyAlignment="1">
      <alignment horizontal="center" vertical="center" wrapText="1"/>
    </xf>
    <xf numFmtId="0" fontId="6" fillId="0" borderId="0" xfId="0" applyFont="1" applyFill="1" applyBorder="1" applyAlignment="1">
      <alignment horizontal="center" wrapText="1"/>
    </xf>
    <xf numFmtId="169" fontId="6" fillId="0" borderId="0" xfId="0" applyNumberFormat="1" applyFont="1" applyFill="1" applyBorder="1" applyAlignment="1">
      <alignment horizontal="center" wrapText="1"/>
    </xf>
    <xf numFmtId="164" fontId="6" fillId="0" borderId="0" xfId="0" applyNumberFormat="1" applyFont="1" applyFill="1" applyBorder="1" applyAlignment="1">
      <alignment horizontal="center" wrapText="1"/>
    </xf>
    <xf numFmtId="3" fontId="6" fillId="0" borderId="0" xfId="0" applyNumberFormat="1" applyFont="1" applyFill="1" applyBorder="1" applyAlignment="1">
      <alignment horizontal="center" wrapText="1"/>
    </xf>
    <xf numFmtId="4" fontId="6" fillId="0" borderId="0" xfId="0" applyNumberFormat="1" applyFont="1" applyFill="1" applyBorder="1" applyAlignment="1">
      <alignment horizontal="center"/>
    </xf>
  </cellXfs>
  <cellStyles count="49">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urrency" xfId="43"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5" builtinId="8"/>
    <cellStyle name="Input" xfId="9" builtinId="20" customBuiltin="1"/>
    <cellStyle name="Linked Cell" xfId="12" builtinId="24" customBuiltin="1"/>
    <cellStyle name="Neutral" xfId="8" builtinId="28" customBuiltin="1"/>
    <cellStyle name="Normal" xfId="0" builtinId="0"/>
    <cellStyle name="Normal 2" xfId="42" xr:uid="{5129F1DC-4D1B-4720-827C-446F6EB3C083}"/>
    <cellStyle name="Normal 3" xfId="46" xr:uid="{D3873CF3-1E53-486E-BDE8-0DBE793CFED1}"/>
    <cellStyle name="Normal 4" xfId="44" xr:uid="{F87B103E-0FC0-448D-B980-1713F1E3C8E3}"/>
    <cellStyle name="Normal 5" xfId="48" xr:uid="{85DD578B-81FB-4F67-9FBA-D4AAA16BDDB8}"/>
    <cellStyle name="Note" xfId="15" builtinId="10" customBuiltin="1"/>
    <cellStyle name="Output" xfId="10" builtinId="21" customBuiltin="1"/>
    <cellStyle name="Percent 2 2" xfId="47" xr:uid="{F9C197D1-2A5A-486C-A689-8A1130B0A55C}"/>
    <cellStyle name="Title" xfId="1" builtinId="15" customBuiltin="1"/>
    <cellStyle name="Total" xfId="17" builtinId="25" customBuiltin="1"/>
    <cellStyle name="Warning Text" xfId="14" builtinId="11" customBuiltin="1"/>
  </cellStyles>
  <dxfs count="13">
    <dxf>
      <border>
        <bottom style="thin">
          <color indexed="64"/>
        </bottom>
      </border>
    </dxf>
    <dxf>
      <font>
        <color theme="0"/>
      </font>
      <fill>
        <patternFill patternType="none">
          <fgColor indexed="64"/>
          <bgColor indexed="65"/>
        </patternFill>
      </fill>
      <border>
        <left/>
        <right/>
        <top/>
        <bottom/>
      </border>
    </dxf>
    <dxf>
      <font>
        <color theme="0"/>
      </font>
      <fill>
        <patternFill patternType="none">
          <bgColor indexed="65"/>
        </patternFill>
      </fill>
      <border>
        <left/>
        <right/>
        <top/>
        <bottom/>
      </border>
    </dxf>
    <dxf>
      <numFmt numFmtId="19" formatCode="m/d/yyyy"/>
    </dxf>
    <dxf>
      <numFmt numFmtId="19" formatCode="m/d/yyyy"/>
    </dxf>
    <dxf>
      <numFmt numFmtId="19" formatCode="m/d/yyyy"/>
    </dxf>
    <dxf>
      <numFmt numFmtId="19" formatCode="m/d/yyyy"/>
    </dxf>
    <dxf>
      <numFmt numFmtId="171" formatCode="&quot;$&quot;#,##0.00"/>
    </dxf>
    <dxf>
      <numFmt numFmtId="171" formatCode="&quot;$&quot;#,##0.00"/>
    </dxf>
    <dxf>
      <numFmt numFmtId="171" formatCode="&quot;$&quot;#,##0.00"/>
    </dxf>
    <dxf>
      <numFmt numFmtId="171" formatCode="&quot;$&quot;#,##0.00"/>
    </dxf>
    <dxf>
      <numFmt numFmtId="3" formatCode="#,##0"/>
    </dxf>
    <dxf>
      <alignment horizontal="center" vertical="bottom" textRotation="0" wrapText="0" indent="0" justifyLastLine="0" shrinkToFit="0" readingOrder="0"/>
    </dxf>
  </dxfs>
  <tableStyles count="0" defaultTableStyle="TableStyleMedium2" defaultPivotStyle="PivotStyleLight16"/>
  <colors>
    <mruColors>
      <color rgb="FF993300"/>
      <color rgb="FF990000"/>
      <color rgb="FFCC3300"/>
      <color rgb="FFEBF1DE"/>
      <color rgb="FFB4C6E7"/>
      <color rgb="FFFFFFFF"/>
      <color rgb="FFFFFFCC"/>
      <color rgb="FFFFFF99"/>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externalLink" Target="externalLinks/externalLink1.xml"/><Relationship Id="rId68" Type="http://schemas.openxmlformats.org/officeDocument/2006/relationships/theme" Target="theme/theme1.xml"/><Relationship Id="rId16" Type="http://schemas.openxmlformats.org/officeDocument/2006/relationships/worksheet" Target="worksheets/sheet1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externalLink" Target="externalLinks/externalLink4.xml"/><Relationship Id="rId74"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externalLink" Target="externalLinks/externalLink2.xml"/><Relationship Id="rId69" Type="http://schemas.openxmlformats.org/officeDocument/2006/relationships/styles" Target="styles.xml"/><Relationship Id="rId77"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72"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externalLink" Target="externalLinks/externalLink5.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sharedStrings" Target="sharedStrings.xml"/><Relationship Id="rId75"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externalLink" Target="externalLinks/externalLink3.xml"/><Relationship Id="rId73"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customXml" Target="../customXml/item3.xml"/><Relationship Id="rId7" Type="http://schemas.openxmlformats.org/officeDocument/2006/relationships/worksheet" Target="worksheets/sheet7.xml"/><Relationship Id="rId71" Type="http://schemas.openxmlformats.org/officeDocument/2006/relationships/sheetMetadata" Target="metadata.xml"/><Relationship Id="rId2" Type="http://schemas.openxmlformats.org/officeDocument/2006/relationships/worksheet" Target="worksheets/sheet2.xml"/><Relationship Id="rId29" Type="http://schemas.openxmlformats.org/officeDocument/2006/relationships/worksheet" Target="worksheets/sheet2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fmlaLink="$AE$4" lockText="1" noThreeD="1"/>
</file>

<file path=xl/ctrlProps/ctrlProp8.xml><?xml version="1.0" encoding="utf-8"?>
<formControlPr xmlns="http://schemas.microsoft.com/office/spreadsheetml/2009/9/main" objectType="CheckBox" fmlaLink="$AE$5" lockText="1" noThreeD="1"/>
</file>

<file path=xl/ctrlProps/ctrlProp9.xml><?xml version="1.0" encoding="utf-8"?>
<formControlPr xmlns="http://schemas.microsoft.com/office/spreadsheetml/2009/9/main" objectType="CheckBox" fmlaLink="$AE$6" lockText="1" noThreeD="1"/>
</file>

<file path=xl/ctrlProps/ctrlProp10.xml><?xml version="1.0" encoding="utf-8"?>
<formControlPr xmlns="http://schemas.microsoft.com/office/spreadsheetml/2009/9/main" objectType="CheckBox" checked="Checked" fmlaLink="$AE$7" lockText="1" noThreeD="1"/>
</file>

<file path=xl/ctrlProps/ctrlProp11.xml><?xml version="1.0" encoding="utf-8"?>
<formControlPr xmlns="http://schemas.microsoft.com/office/spreadsheetml/2009/9/main" objectType="CheckBox" checked="Checked" fmlaLink="$AE$8" lockText="1" noThreeD="1"/>
</file>

<file path=xl/ctrlProps/ctrlProp12.xml><?xml version="1.0" encoding="utf-8"?>
<formControlPr xmlns="http://schemas.microsoft.com/office/spreadsheetml/2009/9/main" objectType="CheckBox" fmlaLink="$AE$13" lockText="1" noThreeD="1"/>
</file>

<file path=xl/ctrlProps/ctrlProp13.xml><?xml version="1.0" encoding="utf-8"?>
<formControlPr xmlns="http://schemas.microsoft.com/office/spreadsheetml/2009/9/main" objectType="CheckBox" fmlaLink="$AE$14" lockText="1" noThreeD="1"/>
</file>

<file path=xl/ctrlProps/ctrlProp14.xml><?xml version="1.0" encoding="utf-8"?>
<formControlPr xmlns="http://schemas.microsoft.com/office/spreadsheetml/2009/9/main" objectType="CheckBox" checked="Checked" fmlaLink="$AE$15" lockText="1" noThreeD="1"/>
</file>

<file path=xl/ctrlProps/ctrlProp15.xml><?xml version="1.0" encoding="utf-8"?>
<formControlPr xmlns="http://schemas.microsoft.com/office/spreadsheetml/2009/9/main" objectType="CheckBox" checked="Checked" fmlaLink="$AE$16" lockText="1" noThreeD="1"/>
</file>

<file path=xl/ctrlProps/ctrlProp16.xml><?xml version="1.0" encoding="utf-8"?>
<formControlPr xmlns="http://schemas.microsoft.com/office/spreadsheetml/2009/9/main" objectType="CheckBox" fmlaLink="$AE$17" lockText="1" noThreeD="1"/>
</file>

<file path=xl/ctrlProps/ctrlProp17.xml><?xml version="1.0" encoding="utf-8"?>
<formControlPr xmlns="http://schemas.microsoft.com/office/spreadsheetml/2009/9/main" objectType="CheckBox" fmlaLink="$AE$22" lockText="1" noThreeD="1"/>
</file>

<file path=xl/ctrlProps/ctrlProp18.xml><?xml version="1.0" encoding="utf-8"?>
<formControlPr xmlns="http://schemas.microsoft.com/office/spreadsheetml/2009/9/main" objectType="CheckBox" fmlaLink="$AE$23" lockText="1" noThreeD="1"/>
</file>

<file path=xl/ctrlProps/ctrlProp19.xml><?xml version="1.0" encoding="utf-8"?>
<formControlPr xmlns="http://schemas.microsoft.com/office/spreadsheetml/2009/9/main" objectType="CheckBox" checked="Checked" fmlaLink="$AE$24" lockText="1" noThreeD="1"/>
</file>

<file path=xl/ctrlProps/ctrlProp20.xml><?xml version="1.0" encoding="utf-8"?>
<formControlPr xmlns="http://schemas.microsoft.com/office/spreadsheetml/2009/9/main" objectType="CheckBox" checked="Checked" fmlaLink="$AE$25" lockText="1" noThreeD="1"/>
</file>

<file path=xl/ctrlProps/ctrlProp21.xml><?xml version="1.0" encoding="utf-8"?>
<formControlPr xmlns="http://schemas.microsoft.com/office/spreadsheetml/2009/9/main" objectType="CheckBox" fmlaLink="$AE$26" lockText="1" noThreeD="1"/>
</file>

<file path=xl/ctrlProps/ctrlProp22.xml><?xml version="1.0" encoding="utf-8"?>
<formControlPr xmlns="http://schemas.microsoft.com/office/spreadsheetml/2009/9/main" objectType="CheckBox" fmlaLink="$AE$31" lockText="1" noThreeD="1"/>
</file>

<file path=xl/ctrlProps/ctrlProp23.xml><?xml version="1.0" encoding="utf-8"?>
<formControlPr xmlns="http://schemas.microsoft.com/office/spreadsheetml/2009/9/main" objectType="CheckBox" fmlaLink="$AE$32" lockText="1" noThreeD="1"/>
</file>

<file path=xl/ctrlProps/ctrlProp24.xml><?xml version="1.0" encoding="utf-8"?>
<formControlPr xmlns="http://schemas.microsoft.com/office/spreadsheetml/2009/9/main" objectType="CheckBox" fmlaLink="$AE$33" lockText="1" noThreeD="1"/>
</file>

<file path=xl/ctrlProps/ctrlProp25.xml><?xml version="1.0" encoding="utf-8"?>
<formControlPr xmlns="http://schemas.microsoft.com/office/spreadsheetml/2009/9/main" objectType="CheckBox" fmlaLink="$AE$34" lockText="1" noThreeD="1"/>
</file>

<file path=xl/ctrlProps/ctrlProp26.xml><?xml version="1.0" encoding="utf-8"?>
<formControlPr xmlns="http://schemas.microsoft.com/office/spreadsheetml/2009/9/main" objectType="CheckBox" fmlaLink="$AE$35" lockText="1" noThreeD="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drawing8.xml.rels><?xml version="1.0" encoding="UTF-8" standalone="yes"?>
<Relationships xmlns="http://schemas.openxmlformats.org/package/2006/relationships"><Relationship Id="rId8" Type="http://schemas.openxmlformats.org/officeDocument/2006/relationships/image" Target="../media/image14.png"/><Relationship Id="rId3" Type="http://schemas.openxmlformats.org/officeDocument/2006/relationships/image" Target="../media/image9.png"/><Relationship Id="rId7" Type="http://schemas.openxmlformats.org/officeDocument/2006/relationships/image" Target="../media/image13.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png"/></Relationships>
</file>

<file path=xl/drawings/_rels/drawing9.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6.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8.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9.png"/></Relationships>
</file>

<file path=xl/drawings/_rels/drawing21.xml.rels><?xml version="1.0" encoding="UTF-8" standalone="yes"?>
<Relationships xmlns="http://schemas.openxmlformats.org/package/2006/relationships"><Relationship Id="rId1" Type="http://schemas.openxmlformats.org/officeDocument/2006/relationships/image" Target="../media/image20.png"/></Relationships>
</file>

<file path=xl/drawings/_rels/drawing22.xml.rels><?xml version="1.0" encoding="UTF-8" standalone="yes"?>
<Relationships xmlns="http://schemas.openxmlformats.org/package/2006/relationships"><Relationship Id="rId1" Type="http://schemas.openxmlformats.org/officeDocument/2006/relationships/image" Target="../media/image20.png"/></Relationships>
</file>

<file path=xl/drawings/_rels/drawing33.xml.rels><?xml version="1.0" encoding="UTF-8" standalone="yes"?>
<Relationships xmlns="http://schemas.openxmlformats.org/package/2006/relationships"><Relationship Id="rId1" Type="http://schemas.openxmlformats.org/officeDocument/2006/relationships/image" Target="../media/image16.png"/></Relationships>
</file>

<file path=xl/drawings/_rels/drawing39.xml.rels><?xml version="1.0" encoding="UTF-8" standalone="yes"?>
<Relationships xmlns="http://schemas.openxmlformats.org/package/2006/relationships"><Relationship Id="rId1" Type="http://schemas.openxmlformats.org/officeDocument/2006/relationships/image" Target="../media/image4.jpeg"/></Relationships>
</file>

<file path=xl/drawings/_rels/drawing40.xml.rels><?xml version="1.0" encoding="UTF-8" standalone="yes"?>
<Relationships xmlns="http://schemas.openxmlformats.org/package/2006/relationships"><Relationship Id="rId1" Type="http://schemas.openxmlformats.org/officeDocument/2006/relationships/image" Target="../media/image2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5</xdr:row>
          <xdr:rowOff>7620</xdr:rowOff>
        </xdr:from>
        <xdr:to>
          <xdr:col>11</xdr:col>
          <xdr:colOff>388620</xdr:colOff>
          <xdr:row>7</xdr:row>
          <xdr:rowOff>144780</xdr:rowOff>
        </xdr:to>
        <xdr:sp macro="" textlink="">
          <xdr:nvSpPr>
            <xdr:cNvPr id="4109" name="Button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ea typeface="Calibri"/>
                  <a:cs typeface="Calibri"/>
                </a:rPr>
                <a:t>Clear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xdr:colOff>
          <xdr:row>5</xdr:row>
          <xdr:rowOff>7620</xdr:rowOff>
        </xdr:from>
        <xdr:to>
          <xdr:col>8</xdr:col>
          <xdr:colOff>236220</xdr:colOff>
          <xdr:row>7</xdr:row>
          <xdr:rowOff>144780</xdr:rowOff>
        </xdr:to>
        <xdr:sp macro="" textlink="">
          <xdr:nvSpPr>
            <xdr:cNvPr id="4136" name="Button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0" anchor="t" upright="1"/>
            <a:lstStyle/>
            <a:p>
              <a:pPr algn="ctr" rtl="0">
                <a:defRPr sz="1000"/>
              </a:pPr>
              <a:r>
                <a:rPr lang="en-US" sz="1400" b="1" i="0" u="none" strike="noStrike" baseline="0">
                  <a:solidFill>
                    <a:srgbClr val="000000"/>
                  </a:solidFill>
                  <a:latin typeface="Calibri"/>
                  <a:ea typeface="Calibri"/>
                  <a:cs typeface="Calibri"/>
                </a:rPr>
                <a:t>Import Comps </a:t>
              </a:r>
            </a:p>
            <a:p>
              <a:pPr algn="ctr" rtl="0">
                <a:defRPr sz="1000"/>
              </a:pPr>
              <a:r>
                <a:rPr lang="en-US" sz="1400" b="1" i="0" u="none" strike="noStrike" baseline="0">
                  <a:solidFill>
                    <a:srgbClr val="000000"/>
                  </a:solidFill>
                  <a:latin typeface="Calibri"/>
                  <a:ea typeface="Calibri"/>
                  <a:cs typeface="Calibri"/>
                </a:rPr>
                <a:t>(CoStar)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411480</xdr:colOff>
          <xdr:row>5</xdr:row>
          <xdr:rowOff>7620</xdr:rowOff>
        </xdr:from>
        <xdr:to>
          <xdr:col>14</xdr:col>
          <xdr:colOff>579120</xdr:colOff>
          <xdr:row>7</xdr:row>
          <xdr:rowOff>144780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ea typeface="Calibri"/>
                  <a:cs typeface="Calibri"/>
                </a:rPr>
                <a:t>Clear Pics and Maps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419100</xdr:colOff>
          <xdr:row>27</xdr:row>
          <xdr:rowOff>7620</xdr:rowOff>
        </xdr:from>
        <xdr:to>
          <xdr:col>8</xdr:col>
          <xdr:colOff>373380</xdr:colOff>
          <xdr:row>28</xdr:row>
          <xdr:rowOff>182880</xdr:rowOff>
        </xdr:to>
        <xdr:sp macro="" textlink="">
          <xdr:nvSpPr>
            <xdr:cNvPr id="4139" name="Button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Clear Subject Input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xdr:colOff>
          <xdr:row>27</xdr:row>
          <xdr:rowOff>7620</xdr:rowOff>
        </xdr:from>
        <xdr:to>
          <xdr:col>5</xdr:col>
          <xdr:colOff>403860</xdr:colOff>
          <xdr:row>28</xdr:row>
          <xdr:rowOff>182880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Populate Subject Info</a:t>
              </a:r>
            </a:p>
          </xdr:txBody>
        </xdr:sp>
        <xdr:clientData fPrintsWithSheet="0"/>
      </xdr:twoCellAnchor>
    </mc:Choice>
    <mc:Fallback/>
  </mc:AlternateContent>
  <xdr:twoCellAnchor editAs="oneCell">
    <xdr:from>
      <xdr:col>10</xdr:col>
      <xdr:colOff>88676</xdr:colOff>
      <xdr:row>13</xdr:row>
      <xdr:rowOff>14247</xdr:rowOff>
    </xdr:from>
    <xdr:to>
      <xdr:col>18</xdr:col>
      <xdr:colOff>143061</xdr:colOff>
      <xdr:row>48</xdr:row>
      <xdr:rowOff>162646</xdr:rowOff>
    </xdr:to>
    <xdr:pic>
      <xdr:nvPicPr>
        <xdr:cNvPr id="3" name="Picture 2">
          <a:extLst>
            <a:ext uri="{FF2B5EF4-FFF2-40B4-BE49-F238E27FC236}">
              <a16:creationId xmlns:a16="http://schemas.microsoft.com/office/drawing/2014/main" id="{BE5D7CDC-0BC9-74CA-842E-C89D2AD5FA82}"/>
            </a:ext>
          </a:extLst>
        </xdr:cNvPr>
        <xdr:cNvPicPr>
          <a:picLocks noChangeAspect="1"/>
        </xdr:cNvPicPr>
      </xdr:nvPicPr>
      <xdr:blipFill>
        <a:blip xmlns:r="http://schemas.openxmlformats.org/officeDocument/2006/relationships" r:embed="rId1"/>
        <a:stretch>
          <a:fillRect/>
        </a:stretch>
      </xdr:blipFill>
      <xdr:spPr>
        <a:xfrm>
          <a:off x="7741806" y="2167725"/>
          <a:ext cx="4407725" cy="509146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68580</xdr:colOff>
          <xdr:row>0</xdr:row>
          <xdr:rowOff>38100</xdr:rowOff>
        </xdr:from>
        <xdr:to>
          <xdr:col>26</xdr:col>
          <xdr:colOff>1341120</xdr:colOff>
          <xdr:row>3</xdr:row>
          <xdr:rowOff>0</xdr:rowOff>
        </xdr:to>
        <xdr:sp macro="" textlink="">
          <xdr:nvSpPr>
            <xdr:cNvPr id="179208" name="Button 8" hidden="1">
              <a:extLst>
                <a:ext uri="{63B3BB69-23CF-44E3-9099-C40C66FF867C}">
                  <a14:compatExt spid="_x0000_s179208"/>
                </a:ext>
                <a:ext uri="{FF2B5EF4-FFF2-40B4-BE49-F238E27FC236}">
                  <a16:creationId xmlns:a16="http://schemas.microsoft.com/office/drawing/2014/main" id="{00000000-0008-0000-0200-000008B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Compare to Aumentum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30</xdr:col>
          <xdr:colOff>190500</xdr:colOff>
          <xdr:row>2</xdr:row>
          <xdr:rowOff>167640</xdr:rowOff>
        </xdr:from>
        <xdr:to>
          <xdr:col>30</xdr:col>
          <xdr:colOff>426720</xdr:colOff>
          <xdr:row>4</xdr:row>
          <xdr:rowOff>15240</xdr:rowOff>
        </xdr:to>
        <xdr:sp macro="" textlink="">
          <xdr:nvSpPr>
            <xdr:cNvPr id="179251" name="Check Box 51" hidden="1">
              <a:extLst>
                <a:ext uri="{63B3BB69-23CF-44E3-9099-C40C66FF867C}">
                  <a14:compatExt spid="_x0000_s179251"/>
                </a:ext>
                <a:ext uri="{FF2B5EF4-FFF2-40B4-BE49-F238E27FC236}">
                  <a16:creationId xmlns:a16="http://schemas.microsoft.com/office/drawing/2014/main" id="{9170D3CA-6EC3-6C5D-7796-7292136917D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190500</xdr:colOff>
          <xdr:row>3</xdr:row>
          <xdr:rowOff>167640</xdr:rowOff>
        </xdr:from>
        <xdr:to>
          <xdr:col>30</xdr:col>
          <xdr:colOff>426720</xdr:colOff>
          <xdr:row>5</xdr:row>
          <xdr:rowOff>15240</xdr:rowOff>
        </xdr:to>
        <xdr:sp macro="" textlink="">
          <xdr:nvSpPr>
            <xdr:cNvPr id="179252" name="Check Box 52" hidden="1">
              <a:extLst>
                <a:ext uri="{63B3BB69-23CF-44E3-9099-C40C66FF867C}">
                  <a14:compatExt spid="_x0000_s179252"/>
                </a:ext>
                <a:ext uri="{FF2B5EF4-FFF2-40B4-BE49-F238E27FC236}">
                  <a16:creationId xmlns:a16="http://schemas.microsoft.com/office/drawing/2014/main" id="{603569D4-344A-19F3-EFBA-2D883F70A65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190500</xdr:colOff>
          <xdr:row>4</xdr:row>
          <xdr:rowOff>167640</xdr:rowOff>
        </xdr:from>
        <xdr:to>
          <xdr:col>30</xdr:col>
          <xdr:colOff>426720</xdr:colOff>
          <xdr:row>6</xdr:row>
          <xdr:rowOff>15240</xdr:rowOff>
        </xdr:to>
        <xdr:sp macro="" textlink="">
          <xdr:nvSpPr>
            <xdr:cNvPr id="179253" name="Check Box 53" hidden="1">
              <a:extLst>
                <a:ext uri="{63B3BB69-23CF-44E3-9099-C40C66FF867C}">
                  <a14:compatExt spid="_x0000_s179253"/>
                </a:ext>
                <a:ext uri="{FF2B5EF4-FFF2-40B4-BE49-F238E27FC236}">
                  <a16:creationId xmlns:a16="http://schemas.microsoft.com/office/drawing/2014/main" id="{360FC957-B749-5F7E-20DC-7827925362F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190500</xdr:colOff>
          <xdr:row>5</xdr:row>
          <xdr:rowOff>167640</xdr:rowOff>
        </xdr:from>
        <xdr:to>
          <xdr:col>30</xdr:col>
          <xdr:colOff>426720</xdr:colOff>
          <xdr:row>7</xdr:row>
          <xdr:rowOff>15240</xdr:rowOff>
        </xdr:to>
        <xdr:sp macro="" textlink="">
          <xdr:nvSpPr>
            <xdr:cNvPr id="179254" name="Check Box 54" hidden="1">
              <a:extLst>
                <a:ext uri="{63B3BB69-23CF-44E3-9099-C40C66FF867C}">
                  <a14:compatExt spid="_x0000_s179254"/>
                </a:ext>
                <a:ext uri="{FF2B5EF4-FFF2-40B4-BE49-F238E27FC236}">
                  <a16:creationId xmlns:a16="http://schemas.microsoft.com/office/drawing/2014/main" id="{C68B249A-7333-435A-7124-C3ED08BB68C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190500</xdr:colOff>
          <xdr:row>6</xdr:row>
          <xdr:rowOff>167640</xdr:rowOff>
        </xdr:from>
        <xdr:to>
          <xdr:col>30</xdr:col>
          <xdr:colOff>426720</xdr:colOff>
          <xdr:row>8</xdr:row>
          <xdr:rowOff>15240</xdr:rowOff>
        </xdr:to>
        <xdr:sp macro="" textlink="">
          <xdr:nvSpPr>
            <xdr:cNvPr id="179255" name="Check Box 55" hidden="1">
              <a:extLst>
                <a:ext uri="{63B3BB69-23CF-44E3-9099-C40C66FF867C}">
                  <a14:compatExt spid="_x0000_s179255"/>
                </a:ext>
                <a:ext uri="{FF2B5EF4-FFF2-40B4-BE49-F238E27FC236}">
                  <a16:creationId xmlns:a16="http://schemas.microsoft.com/office/drawing/2014/main" id="{163BE7F4-801A-A366-7106-7E53632944F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190500</xdr:colOff>
          <xdr:row>11</xdr:row>
          <xdr:rowOff>167640</xdr:rowOff>
        </xdr:from>
        <xdr:to>
          <xdr:col>30</xdr:col>
          <xdr:colOff>426720</xdr:colOff>
          <xdr:row>13</xdr:row>
          <xdr:rowOff>15240</xdr:rowOff>
        </xdr:to>
        <xdr:sp macro="" textlink="">
          <xdr:nvSpPr>
            <xdr:cNvPr id="179256" name="Check Box 56" hidden="1">
              <a:extLst>
                <a:ext uri="{63B3BB69-23CF-44E3-9099-C40C66FF867C}">
                  <a14:compatExt spid="_x0000_s179256"/>
                </a:ext>
                <a:ext uri="{FF2B5EF4-FFF2-40B4-BE49-F238E27FC236}">
                  <a16:creationId xmlns:a16="http://schemas.microsoft.com/office/drawing/2014/main" id="{1EA1D841-013F-2856-73BB-0776BB86CD2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190500</xdr:colOff>
          <xdr:row>12</xdr:row>
          <xdr:rowOff>167640</xdr:rowOff>
        </xdr:from>
        <xdr:to>
          <xdr:col>30</xdr:col>
          <xdr:colOff>426720</xdr:colOff>
          <xdr:row>14</xdr:row>
          <xdr:rowOff>15240</xdr:rowOff>
        </xdr:to>
        <xdr:sp macro="" textlink="">
          <xdr:nvSpPr>
            <xdr:cNvPr id="179257" name="Check Box 57" hidden="1">
              <a:extLst>
                <a:ext uri="{63B3BB69-23CF-44E3-9099-C40C66FF867C}">
                  <a14:compatExt spid="_x0000_s179257"/>
                </a:ext>
                <a:ext uri="{FF2B5EF4-FFF2-40B4-BE49-F238E27FC236}">
                  <a16:creationId xmlns:a16="http://schemas.microsoft.com/office/drawing/2014/main" id="{996AD985-24D9-EBCC-E809-0AB6C3675A1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190500</xdr:colOff>
          <xdr:row>13</xdr:row>
          <xdr:rowOff>167640</xdr:rowOff>
        </xdr:from>
        <xdr:to>
          <xdr:col>30</xdr:col>
          <xdr:colOff>426720</xdr:colOff>
          <xdr:row>15</xdr:row>
          <xdr:rowOff>15240</xdr:rowOff>
        </xdr:to>
        <xdr:sp macro="" textlink="">
          <xdr:nvSpPr>
            <xdr:cNvPr id="179258" name="Check Box 58" hidden="1">
              <a:extLst>
                <a:ext uri="{63B3BB69-23CF-44E3-9099-C40C66FF867C}">
                  <a14:compatExt spid="_x0000_s179258"/>
                </a:ext>
                <a:ext uri="{FF2B5EF4-FFF2-40B4-BE49-F238E27FC236}">
                  <a16:creationId xmlns:a16="http://schemas.microsoft.com/office/drawing/2014/main" id="{AD9229DD-4016-FC1B-7C66-E37060AA78E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190500</xdr:colOff>
          <xdr:row>14</xdr:row>
          <xdr:rowOff>167640</xdr:rowOff>
        </xdr:from>
        <xdr:to>
          <xdr:col>30</xdr:col>
          <xdr:colOff>426720</xdr:colOff>
          <xdr:row>16</xdr:row>
          <xdr:rowOff>15240</xdr:rowOff>
        </xdr:to>
        <xdr:sp macro="" textlink="">
          <xdr:nvSpPr>
            <xdr:cNvPr id="179259" name="Check Box 59" hidden="1">
              <a:extLst>
                <a:ext uri="{63B3BB69-23CF-44E3-9099-C40C66FF867C}">
                  <a14:compatExt spid="_x0000_s179259"/>
                </a:ext>
                <a:ext uri="{FF2B5EF4-FFF2-40B4-BE49-F238E27FC236}">
                  <a16:creationId xmlns:a16="http://schemas.microsoft.com/office/drawing/2014/main" id="{AD1D3E02-3E11-48CB-B332-2905F25CC8B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190500</xdr:colOff>
          <xdr:row>15</xdr:row>
          <xdr:rowOff>167640</xdr:rowOff>
        </xdr:from>
        <xdr:to>
          <xdr:col>30</xdr:col>
          <xdr:colOff>426720</xdr:colOff>
          <xdr:row>17</xdr:row>
          <xdr:rowOff>15240</xdr:rowOff>
        </xdr:to>
        <xdr:sp macro="" textlink="">
          <xdr:nvSpPr>
            <xdr:cNvPr id="179260" name="Check Box 60" hidden="1">
              <a:extLst>
                <a:ext uri="{63B3BB69-23CF-44E3-9099-C40C66FF867C}">
                  <a14:compatExt spid="_x0000_s179260"/>
                </a:ext>
                <a:ext uri="{FF2B5EF4-FFF2-40B4-BE49-F238E27FC236}">
                  <a16:creationId xmlns:a16="http://schemas.microsoft.com/office/drawing/2014/main" id="{893AC6EA-8D12-7FCD-6D50-B21E8C79065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190500</xdr:colOff>
          <xdr:row>20</xdr:row>
          <xdr:rowOff>167640</xdr:rowOff>
        </xdr:from>
        <xdr:to>
          <xdr:col>30</xdr:col>
          <xdr:colOff>426720</xdr:colOff>
          <xdr:row>22</xdr:row>
          <xdr:rowOff>15240</xdr:rowOff>
        </xdr:to>
        <xdr:sp macro="" textlink="">
          <xdr:nvSpPr>
            <xdr:cNvPr id="179261" name="Check Box 61" hidden="1">
              <a:extLst>
                <a:ext uri="{63B3BB69-23CF-44E3-9099-C40C66FF867C}">
                  <a14:compatExt spid="_x0000_s179261"/>
                </a:ext>
                <a:ext uri="{FF2B5EF4-FFF2-40B4-BE49-F238E27FC236}">
                  <a16:creationId xmlns:a16="http://schemas.microsoft.com/office/drawing/2014/main" id="{91E5343E-E6DF-8D40-2A82-7FDC97B0B7B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190500</xdr:colOff>
          <xdr:row>21</xdr:row>
          <xdr:rowOff>167640</xdr:rowOff>
        </xdr:from>
        <xdr:to>
          <xdr:col>30</xdr:col>
          <xdr:colOff>426720</xdr:colOff>
          <xdr:row>23</xdr:row>
          <xdr:rowOff>15240</xdr:rowOff>
        </xdr:to>
        <xdr:sp macro="" textlink="">
          <xdr:nvSpPr>
            <xdr:cNvPr id="179262" name="Check Box 62" hidden="1">
              <a:extLst>
                <a:ext uri="{63B3BB69-23CF-44E3-9099-C40C66FF867C}">
                  <a14:compatExt spid="_x0000_s179262"/>
                </a:ext>
                <a:ext uri="{FF2B5EF4-FFF2-40B4-BE49-F238E27FC236}">
                  <a16:creationId xmlns:a16="http://schemas.microsoft.com/office/drawing/2014/main" id="{3AFF0DD6-33C2-FF53-EDCA-69525BF20B1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190500</xdr:colOff>
          <xdr:row>22</xdr:row>
          <xdr:rowOff>167640</xdr:rowOff>
        </xdr:from>
        <xdr:to>
          <xdr:col>30</xdr:col>
          <xdr:colOff>426720</xdr:colOff>
          <xdr:row>24</xdr:row>
          <xdr:rowOff>15240</xdr:rowOff>
        </xdr:to>
        <xdr:sp macro="" textlink="">
          <xdr:nvSpPr>
            <xdr:cNvPr id="179263" name="Check Box 63" hidden="1">
              <a:extLst>
                <a:ext uri="{63B3BB69-23CF-44E3-9099-C40C66FF867C}">
                  <a14:compatExt spid="_x0000_s179263"/>
                </a:ext>
                <a:ext uri="{FF2B5EF4-FFF2-40B4-BE49-F238E27FC236}">
                  <a16:creationId xmlns:a16="http://schemas.microsoft.com/office/drawing/2014/main" id="{1F4290E7-B711-F740-2503-27B05BD65D6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190500</xdr:colOff>
          <xdr:row>23</xdr:row>
          <xdr:rowOff>167640</xdr:rowOff>
        </xdr:from>
        <xdr:to>
          <xdr:col>30</xdr:col>
          <xdr:colOff>426720</xdr:colOff>
          <xdr:row>25</xdr:row>
          <xdr:rowOff>15240</xdr:rowOff>
        </xdr:to>
        <xdr:sp macro="" textlink="">
          <xdr:nvSpPr>
            <xdr:cNvPr id="179264" name="Check Box 64" hidden="1">
              <a:extLst>
                <a:ext uri="{63B3BB69-23CF-44E3-9099-C40C66FF867C}">
                  <a14:compatExt spid="_x0000_s179264"/>
                </a:ext>
                <a:ext uri="{FF2B5EF4-FFF2-40B4-BE49-F238E27FC236}">
                  <a16:creationId xmlns:a16="http://schemas.microsoft.com/office/drawing/2014/main" id="{872D41B2-83D2-EE8A-F1F1-0D8BF2CD095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190500</xdr:colOff>
          <xdr:row>24</xdr:row>
          <xdr:rowOff>167640</xdr:rowOff>
        </xdr:from>
        <xdr:to>
          <xdr:col>30</xdr:col>
          <xdr:colOff>426720</xdr:colOff>
          <xdr:row>26</xdr:row>
          <xdr:rowOff>15240</xdr:rowOff>
        </xdr:to>
        <xdr:sp macro="" textlink="">
          <xdr:nvSpPr>
            <xdr:cNvPr id="179265" name="Check Box 65" hidden="1">
              <a:extLst>
                <a:ext uri="{63B3BB69-23CF-44E3-9099-C40C66FF867C}">
                  <a14:compatExt spid="_x0000_s179265"/>
                </a:ext>
                <a:ext uri="{FF2B5EF4-FFF2-40B4-BE49-F238E27FC236}">
                  <a16:creationId xmlns:a16="http://schemas.microsoft.com/office/drawing/2014/main" id="{478A7776-4305-4D70-FDAB-7B00D3B40ED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190500</xdr:colOff>
          <xdr:row>29</xdr:row>
          <xdr:rowOff>167640</xdr:rowOff>
        </xdr:from>
        <xdr:to>
          <xdr:col>30</xdr:col>
          <xdr:colOff>426720</xdr:colOff>
          <xdr:row>31</xdr:row>
          <xdr:rowOff>15240</xdr:rowOff>
        </xdr:to>
        <xdr:sp macro="" textlink="">
          <xdr:nvSpPr>
            <xdr:cNvPr id="179266" name="Check Box 66" hidden="1">
              <a:extLst>
                <a:ext uri="{63B3BB69-23CF-44E3-9099-C40C66FF867C}">
                  <a14:compatExt spid="_x0000_s179266"/>
                </a:ext>
                <a:ext uri="{FF2B5EF4-FFF2-40B4-BE49-F238E27FC236}">
                  <a16:creationId xmlns:a16="http://schemas.microsoft.com/office/drawing/2014/main" id="{885630B7-EE24-7CD2-7B7F-A5B7F1777F8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190500</xdr:colOff>
          <xdr:row>30</xdr:row>
          <xdr:rowOff>167640</xdr:rowOff>
        </xdr:from>
        <xdr:to>
          <xdr:col>30</xdr:col>
          <xdr:colOff>426720</xdr:colOff>
          <xdr:row>32</xdr:row>
          <xdr:rowOff>15240</xdr:rowOff>
        </xdr:to>
        <xdr:sp macro="" textlink="">
          <xdr:nvSpPr>
            <xdr:cNvPr id="179267" name="Check Box 67" hidden="1">
              <a:extLst>
                <a:ext uri="{63B3BB69-23CF-44E3-9099-C40C66FF867C}">
                  <a14:compatExt spid="_x0000_s179267"/>
                </a:ext>
                <a:ext uri="{FF2B5EF4-FFF2-40B4-BE49-F238E27FC236}">
                  <a16:creationId xmlns:a16="http://schemas.microsoft.com/office/drawing/2014/main" id="{14AFB733-815C-4DBE-B5AC-5BA31402953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190500</xdr:colOff>
          <xdr:row>31</xdr:row>
          <xdr:rowOff>167640</xdr:rowOff>
        </xdr:from>
        <xdr:to>
          <xdr:col>30</xdr:col>
          <xdr:colOff>426720</xdr:colOff>
          <xdr:row>33</xdr:row>
          <xdr:rowOff>15240</xdr:rowOff>
        </xdr:to>
        <xdr:sp macro="" textlink="">
          <xdr:nvSpPr>
            <xdr:cNvPr id="179268" name="Check Box 68" hidden="1">
              <a:extLst>
                <a:ext uri="{63B3BB69-23CF-44E3-9099-C40C66FF867C}">
                  <a14:compatExt spid="_x0000_s179268"/>
                </a:ext>
                <a:ext uri="{FF2B5EF4-FFF2-40B4-BE49-F238E27FC236}">
                  <a16:creationId xmlns:a16="http://schemas.microsoft.com/office/drawing/2014/main" id="{D0532801-8189-EC8F-5DD6-17F7D95C7F2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190500</xdr:colOff>
          <xdr:row>32</xdr:row>
          <xdr:rowOff>167640</xdr:rowOff>
        </xdr:from>
        <xdr:to>
          <xdr:col>30</xdr:col>
          <xdr:colOff>426720</xdr:colOff>
          <xdr:row>34</xdr:row>
          <xdr:rowOff>15240</xdr:rowOff>
        </xdr:to>
        <xdr:sp macro="" textlink="">
          <xdr:nvSpPr>
            <xdr:cNvPr id="179269" name="Check Box 69" hidden="1">
              <a:extLst>
                <a:ext uri="{63B3BB69-23CF-44E3-9099-C40C66FF867C}">
                  <a14:compatExt spid="_x0000_s179269"/>
                </a:ext>
                <a:ext uri="{FF2B5EF4-FFF2-40B4-BE49-F238E27FC236}">
                  <a16:creationId xmlns:a16="http://schemas.microsoft.com/office/drawing/2014/main" id="{39356130-57BA-E928-3A8B-BB588D4392F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190500</xdr:colOff>
          <xdr:row>33</xdr:row>
          <xdr:rowOff>167640</xdr:rowOff>
        </xdr:from>
        <xdr:to>
          <xdr:col>30</xdr:col>
          <xdr:colOff>426720</xdr:colOff>
          <xdr:row>35</xdr:row>
          <xdr:rowOff>15240</xdr:rowOff>
        </xdr:to>
        <xdr:sp macro="" textlink="">
          <xdr:nvSpPr>
            <xdr:cNvPr id="179270" name="Check Box 70" hidden="1">
              <a:extLst>
                <a:ext uri="{63B3BB69-23CF-44E3-9099-C40C66FF867C}">
                  <a14:compatExt spid="_x0000_s179270"/>
                </a:ext>
                <a:ext uri="{FF2B5EF4-FFF2-40B4-BE49-F238E27FC236}">
                  <a16:creationId xmlns:a16="http://schemas.microsoft.com/office/drawing/2014/main" id="{505DD8F4-7211-B177-80D6-63B72A8986F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160020</xdr:colOff>
          <xdr:row>8</xdr:row>
          <xdr:rowOff>60960</xdr:rowOff>
        </xdr:from>
        <xdr:to>
          <xdr:col>6</xdr:col>
          <xdr:colOff>30480</xdr:colOff>
          <xdr:row>10</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Photo From Clipboard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769620</xdr:colOff>
          <xdr:row>8</xdr:row>
          <xdr:rowOff>60960</xdr:rowOff>
        </xdr:from>
        <xdr:to>
          <xdr:col>7</xdr:col>
          <xdr:colOff>640080</xdr:colOff>
          <xdr:row>10</xdr:row>
          <xdr:rowOff>152400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Parcel Satellite View</a:t>
              </a:r>
            </a:p>
          </xdr:txBody>
        </xdr:sp>
        <xdr:clientData fPrintsWithSheet="0"/>
      </xdr:twoCellAnchor>
    </mc:Choice>
    <mc:Fallback/>
  </mc:AlternateContent>
  <xdr:oneCellAnchor>
    <xdr:from>
      <xdr:col>1</xdr:col>
      <xdr:colOff>1261992</xdr:colOff>
      <xdr:row>0</xdr:row>
      <xdr:rowOff>32739</xdr:rowOff>
    </xdr:from>
    <xdr:ext cx="1125680" cy="1128047"/>
    <xdr:pic>
      <xdr:nvPicPr>
        <xdr:cNvPr id="53" name="Picture 52">
          <a:extLst>
            <a:ext uri="{FF2B5EF4-FFF2-40B4-BE49-F238E27FC236}">
              <a16:creationId xmlns:a16="http://schemas.microsoft.com/office/drawing/2014/main" id="{BE2BF31F-6449-4403-B007-C433A08FFC8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081267" y="32739"/>
          <a:ext cx="1125680" cy="1128047"/>
        </a:xfrm>
        <a:prstGeom prst="rect">
          <a:avLst/>
        </a:prstGeom>
      </xdr:spPr>
    </xdr:pic>
    <xdr:clientData/>
  </xdr:oneCellAnchor>
  <xdr:twoCellAnchor>
    <xdr:from>
      <xdr:col>0</xdr:col>
      <xdr:colOff>963930</xdr:colOff>
      <xdr:row>26</xdr:row>
      <xdr:rowOff>0</xdr:rowOff>
    </xdr:from>
    <xdr:to>
      <xdr:col>4</xdr:col>
      <xdr:colOff>849630</xdr:colOff>
      <xdr:row>47</xdr:row>
      <xdr:rowOff>0</xdr:rowOff>
    </xdr:to>
    <xdr:pic>
      <xdr:nvPicPr>
        <xdr:cNvPr id="5124" name="Picture 4">
          <a:extLst>
            <a:ext uri="{FF2B5EF4-FFF2-40B4-BE49-F238E27FC236}">
              <a16:creationId xmlns:a16="http://schemas.microsoft.com/office/drawing/2014/main" id="{EE46FABB-FE9A-D90B-9DA0-DD102E5352B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63930" y="4785360"/>
          <a:ext cx="5364480" cy="38404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oneCellAnchor>
    <xdr:from>
      <xdr:col>0</xdr:col>
      <xdr:colOff>1</xdr:colOff>
      <xdr:row>0</xdr:row>
      <xdr:rowOff>0</xdr:rowOff>
    </xdr:from>
    <xdr:ext cx="2362674" cy="2367643"/>
    <xdr:pic>
      <xdr:nvPicPr>
        <xdr:cNvPr id="2" name="Picture 1">
          <a:extLst>
            <a:ext uri="{FF2B5EF4-FFF2-40B4-BE49-F238E27FC236}">
              <a16:creationId xmlns:a16="http://schemas.microsoft.com/office/drawing/2014/main" id="{731F781C-43BE-4679-8A81-7AD638DDA52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0"/>
          <a:ext cx="2362674" cy="2367643"/>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419100</xdr:colOff>
          <xdr:row>4</xdr:row>
          <xdr:rowOff>175260</xdr:rowOff>
        </xdr:from>
        <xdr:to>
          <xdr:col>10</xdr:col>
          <xdr:colOff>83820</xdr:colOff>
          <xdr:row>7</xdr:row>
          <xdr:rowOff>175260</xdr:rowOff>
        </xdr:to>
        <xdr:sp macro="" textlink="">
          <xdr:nvSpPr>
            <xdr:cNvPr id="169988" name="Button 4" hidden="1">
              <a:extLst>
                <a:ext uri="{63B3BB69-23CF-44E3-9099-C40C66FF867C}">
                  <a14:compatExt spid="_x0000_s169988"/>
                </a:ext>
                <a:ext uri="{FF2B5EF4-FFF2-40B4-BE49-F238E27FC236}">
                  <a16:creationId xmlns:a16="http://schemas.microsoft.com/office/drawing/2014/main" id="{00000000-0008-0000-0900-0000049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Parcel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830580</xdr:colOff>
          <xdr:row>5</xdr:row>
          <xdr:rowOff>0</xdr:rowOff>
        </xdr:from>
        <xdr:to>
          <xdr:col>12</xdr:col>
          <xdr:colOff>518160</xdr:colOff>
          <xdr:row>8</xdr:row>
          <xdr:rowOff>0</xdr:rowOff>
        </xdr:to>
        <xdr:sp macro="" textlink="">
          <xdr:nvSpPr>
            <xdr:cNvPr id="169989" name="Button 5" hidden="1">
              <a:extLst>
                <a:ext uri="{63B3BB69-23CF-44E3-9099-C40C66FF867C}">
                  <a14:compatExt spid="_x0000_s169989"/>
                </a:ext>
                <a:ext uri="{FF2B5EF4-FFF2-40B4-BE49-F238E27FC236}">
                  <a16:creationId xmlns:a16="http://schemas.microsoft.com/office/drawing/2014/main" id="{00000000-0008-0000-0900-0000059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Paste Image 1 From Clipboard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411480</xdr:colOff>
          <xdr:row>16</xdr:row>
          <xdr:rowOff>22860</xdr:rowOff>
        </xdr:from>
        <xdr:to>
          <xdr:col>10</xdr:col>
          <xdr:colOff>83820</xdr:colOff>
          <xdr:row>19</xdr:row>
          <xdr:rowOff>22860</xdr:rowOff>
        </xdr:to>
        <xdr:sp macro="" textlink="">
          <xdr:nvSpPr>
            <xdr:cNvPr id="169990" name="Button 6" hidden="1">
              <a:extLst>
                <a:ext uri="{63B3BB69-23CF-44E3-9099-C40C66FF867C}">
                  <a14:compatExt spid="_x0000_s169990"/>
                </a:ext>
                <a:ext uri="{FF2B5EF4-FFF2-40B4-BE49-F238E27FC236}">
                  <a16:creationId xmlns:a16="http://schemas.microsoft.com/office/drawing/2014/main" id="{00000000-0008-0000-0900-0000069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Paste Image 2 From Clipboard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411480</xdr:colOff>
          <xdr:row>19</xdr:row>
          <xdr:rowOff>38100</xdr:rowOff>
        </xdr:from>
        <xdr:to>
          <xdr:col>10</xdr:col>
          <xdr:colOff>83820</xdr:colOff>
          <xdr:row>22</xdr:row>
          <xdr:rowOff>38100</xdr:rowOff>
        </xdr:to>
        <xdr:sp macro="" textlink="">
          <xdr:nvSpPr>
            <xdr:cNvPr id="169991" name="Button 7" hidden="1">
              <a:extLst>
                <a:ext uri="{63B3BB69-23CF-44E3-9099-C40C66FF867C}">
                  <a14:compatExt spid="_x0000_s169991"/>
                </a:ext>
                <a:ext uri="{FF2B5EF4-FFF2-40B4-BE49-F238E27FC236}">
                  <a16:creationId xmlns:a16="http://schemas.microsoft.com/office/drawing/2014/main" id="{00000000-0008-0000-0900-0000079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Paste Image 3 From Clipboard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411480</xdr:colOff>
          <xdr:row>8</xdr:row>
          <xdr:rowOff>7620</xdr:rowOff>
        </xdr:from>
        <xdr:to>
          <xdr:col>10</xdr:col>
          <xdr:colOff>83820</xdr:colOff>
          <xdr:row>11</xdr:row>
          <xdr:rowOff>7620</xdr:rowOff>
        </xdr:to>
        <xdr:sp macro="" textlink="">
          <xdr:nvSpPr>
            <xdr:cNvPr id="169992" name="Button 8" hidden="1">
              <a:extLst>
                <a:ext uri="{63B3BB69-23CF-44E3-9099-C40C66FF867C}">
                  <a14:compatExt spid="_x0000_s169992"/>
                </a:ext>
                <a:ext uri="{FF2B5EF4-FFF2-40B4-BE49-F238E27FC236}">
                  <a16:creationId xmlns:a16="http://schemas.microsoft.com/office/drawing/2014/main" id="{00000000-0008-0000-0900-0000089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Map to Bottom of Page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419100</xdr:colOff>
          <xdr:row>1</xdr:row>
          <xdr:rowOff>175260</xdr:rowOff>
        </xdr:from>
        <xdr:to>
          <xdr:col>10</xdr:col>
          <xdr:colOff>83820</xdr:colOff>
          <xdr:row>4</xdr:row>
          <xdr:rowOff>175260</xdr:rowOff>
        </xdr:to>
        <xdr:sp macro="" textlink="">
          <xdr:nvSpPr>
            <xdr:cNvPr id="169994" name="Button 10" hidden="1">
              <a:extLst>
                <a:ext uri="{63B3BB69-23CF-44E3-9099-C40C66FF867C}">
                  <a14:compatExt spid="_x0000_s169994"/>
                </a:ext>
                <a:ext uri="{FF2B5EF4-FFF2-40B4-BE49-F238E27FC236}">
                  <a16:creationId xmlns:a16="http://schemas.microsoft.com/office/drawing/2014/main" id="{00000000-0008-0000-0900-00000A9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Open Google Image 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411480</xdr:colOff>
          <xdr:row>22</xdr:row>
          <xdr:rowOff>45720</xdr:rowOff>
        </xdr:from>
        <xdr:to>
          <xdr:col>10</xdr:col>
          <xdr:colOff>83820</xdr:colOff>
          <xdr:row>25</xdr:row>
          <xdr:rowOff>45720</xdr:rowOff>
        </xdr:to>
        <xdr:sp macro="" textlink="">
          <xdr:nvSpPr>
            <xdr:cNvPr id="169998" name="Button 14" hidden="1">
              <a:extLst>
                <a:ext uri="{63B3BB69-23CF-44E3-9099-C40C66FF867C}">
                  <a14:compatExt spid="_x0000_s169998"/>
                </a:ext>
                <a:ext uri="{FF2B5EF4-FFF2-40B4-BE49-F238E27FC236}">
                  <a16:creationId xmlns:a16="http://schemas.microsoft.com/office/drawing/2014/main" id="{00000000-0008-0000-0900-00000E9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Map to Bottom of Page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411480</xdr:colOff>
          <xdr:row>13</xdr:row>
          <xdr:rowOff>7620</xdr:rowOff>
        </xdr:from>
        <xdr:to>
          <xdr:col>10</xdr:col>
          <xdr:colOff>83820</xdr:colOff>
          <xdr:row>16</xdr:row>
          <xdr:rowOff>7620</xdr:rowOff>
        </xdr:to>
        <xdr:sp macro="" textlink="">
          <xdr:nvSpPr>
            <xdr:cNvPr id="169999" name="Button 15" hidden="1">
              <a:extLst>
                <a:ext uri="{63B3BB69-23CF-44E3-9099-C40C66FF867C}">
                  <a14:compatExt spid="_x0000_s169999"/>
                </a:ext>
                <a:ext uri="{FF2B5EF4-FFF2-40B4-BE49-F238E27FC236}">
                  <a16:creationId xmlns:a16="http://schemas.microsoft.com/office/drawing/2014/main" id="{00000000-0008-0000-0900-00000F9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Page 2</a:t>
              </a:r>
            </a:p>
          </xdr:txBody>
        </xdr:sp>
        <xdr:clientData fPrintsWithSheet="0"/>
      </xdr:twoCellAnchor>
    </mc:Choice>
    <mc:Fallback/>
  </mc:AlternateContent>
  <xdr:twoCellAnchor editAs="oneCell">
    <xdr:from>
      <xdr:col>1</xdr:col>
      <xdr:colOff>53340</xdr:colOff>
      <xdr:row>28</xdr:row>
      <xdr:rowOff>25400</xdr:rowOff>
    </xdr:from>
    <xdr:to>
      <xdr:col>6</xdr:col>
      <xdr:colOff>853440</xdr:colOff>
      <xdr:row>48</xdr:row>
      <xdr:rowOff>177800</xdr:rowOff>
    </xdr:to>
    <xdr:pic>
      <xdr:nvPicPr>
        <xdr:cNvPr id="3" name="Picture 2" descr="https://www.google.com/maps/search/?api=1&amp;query=1215+GRAPHITE+DR%2C+CORONA%2C+CA">
          <a:extLst>
            <a:ext uri="{FF2B5EF4-FFF2-40B4-BE49-F238E27FC236}">
              <a16:creationId xmlns:a16="http://schemas.microsoft.com/office/drawing/2014/main" id="{D9347430-CECF-4798-6895-7A9034E1EE2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60120" y="5146040"/>
          <a:ext cx="5334000" cy="3810000"/>
        </a:xfrm>
        <a:prstGeom prst="rect">
          <a:avLst/>
        </a:prstGeom>
        <a:ln w="12700">
          <a:solidFill>
            <a:prstClr val="black"/>
          </a:solidFill>
        </a:ln>
      </xdr:spPr>
    </xdr:pic>
    <xdr:clientData/>
  </xdr:twoCellAnchor>
  <xdr:twoCellAnchor editAs="oneCell">
    <xdr:from>
      <xdr:col>1</xdr:col>
      <xdr:colOff>222597</xdr:colOff>
      <xdr:row>2</xdr:row>
      <xdr:rowOff>0</xdr:rowOff>
    </xdr:from>
    <xdr:to>
      <xdr:col>6</xdr:col>
      <xdr:colOff>684183</xdr:colOff>
      <xdr:row>22</xdr:row>
      <xdr:rowOff>152400</xdr:rowOff>
    </xdr:to>
    <xdr:pic>
      <xdr:nvPicPr>
        <xdr:cNvPr id="4" name="Picture 3">
          <a:extLst>
            <a:ext uri="{FF2B5EF4-FFF2-40B4-BE49-F238E27FC236}">
              <a16:creationId xmlns:a16="http://schemas.microsoft.com/office/drawing/2014/main" id="{C712EC83-B150-8774-A43E-42A84E4992B4}"/>
            </a:ext>
          </a:extLst>
        </xdr:cNvPr>
        <xdr:cNvPicPr>
          <a:picLocks noChangeAspect="1"/>
        </xdr:cNvPicPr>
      </xdr:nvPicPr>
      <xdr:blipFill>
        <a:blip xmlns:r="http://schemas.openxmlformats.org/officeDocument/2006/relationships" r:embed="rId2"/>
        <a:stretch>
          <a:fillRect/>
        </a:stretch>
      </xdr:blipFill>
      <xdr:spPr>
        <a:xfrm>
          <a:off x="1129377" y="365760"/>
          <a:ext cx="4995486" cy="3810000"/>
        </a:xfrm>
        <a:prstGeom prst="rect">
          <a:avLst/>
        </a:prstGeom>
        <a:ln w="12700">
          <a:solidFill>
            <a:srgbClr val="000000"/>
          </a:solidFill>
        </a:ln>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25</xdr:row>
          <xdr:rowOff>190500</xdr:rowOff>
        </xdr:from>
        <xdr:to>
          <xdr:col>11</xdr:col>
          <xdr:colOff>457200</xdr:colOff>
          <xdr:row>27</xdr:row>
          <xdr:rowOff>60960</xdr:rowOff>
        </xdr:to>
        <xdr:sp macro="" textlink="">
          <xdr:nvSpPr>
            <xdr:cNvPr id="58369" name="Button 1" hidden="1">
              <a:extLst>
                <a:ext uri="{63B3BB69-23CF-44E3-9099-C40C66FF867C}">
                  <a14:compatExt spid="_x0000_s58369"/>
                </a:ext>
                <a:ext uri="{FF2B5EF4-FFF2-40B4-BE49-F238E27FC236}">
                  <a16:creationId xmlns:a16="http://schemas.microsoft.com/office/drawing/2014/main" id="{00000000-0008-0000-0A00-000001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Clear Adjustments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29</xdr:row>
          <xdr:rowOff>0</xdr:rowOff>
        </xdr:from>
        <xdr:to>
          <xdr:col>8</xdr:col>
          <xdr:colOff>868680</xdr:colOff>
          <xdr:row>30</xdr:row>
          <xdr:rowOff>0</xdr:rowOff>
        </xdr:to>
        <xdr:sp macro="" textlink="">
          <xdr:nvSpPr>
            <xdr:cNvPr id="58370" name="Button 2" hidden="1">
              <a:extLst>
                <a:ext uri="{63B3BB69-23CF-44E3-9099-C40C66FF867C}">
                  <a14:compatExt spid="_x0000_s58370"/>
                </a:ext>
                <a:ext uri="{FF2B5EF4-FFF2-40B4-BE49-F238E27FC236}">
                  <a16:creationId xmlns:a16="http://schemas.microsoft.com/office/drawing/2014/main" id="{00000000-0008-0000-0A00-000002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Age Adj.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34</xdr:row>
          <xdr:rowOff>0</xdr:rowOff>
        </xdr:from>
        <xdr:to>
          <xdr:col>8</xdr:col>
          <xdr:colOff>861060</xdr:colOff>
          <xdr:row>34</xdr:row>
          <xdr:rowOff>190500</xdr:rowOff>
        </xdr:to>
        <xdr:sp macro="" textlink="">
          <xdr:nvSpPr>
            <xdr:cNvPr id="58372" name="Button 4" hidden="1">
              <a:extLst>
                <a:ext uri="{63B3BB69-23CF-44E3-9099-C40C66FF867C}">
                  <a14:compatExt spid="_x0000_s58372"/>
                </a:ext>
                <a:ext uri="{FF2B5EF4-FFF2-40B4-BE49-F238E27FC236}">
                  <a16:creationId xmlns:a16="http://schemas.microsoft.com/office/drawing/2014/main" id="{00000000-0008-0000-0A00-000004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Land:Bldg Adj.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22860</xdr:colOff>
          <xdr:row>26</xdr:row>
          <xdr:rowOff>0</xdr:rowOff>
        </xdr:from>
        <xdr:to>
          <xdr:col>8</xdr:col>
          <xdr:colOff>868680</xdr:colOff>
          <xdr:row>27</xdr:row>
          <xdr:rowOff>0</xdr:rowOff>
        </xdr:to>
        <xdr:sp macro="" textlink="">
          <xdr:nvSpPr>
            <xdr:cNvPr id="58373" name="Button 5" hidden="1">
              <a:extLst>
                <a:ext uri="{63B3BB69-23CF-44E3-9099-C40C66FF867C}">
                  <a14:compatExt spid="_x0000_s58373"/>
                </a:ext>
                <a:ext uri="{FF2B5EF4-FFF2-40B4-BE49-F238E27FC236}">
                  <a16:creationId xmlns:a16="http://schemas.microsoft.com/office/drawing/2014/main" id="{00000000-0008-0000-0A00-000005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Bldg. Size Adj.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27</xdr:row>
          <xdr:rowOff>7620</xdr:rowOff>
        </xdr:from>
        <xdr:to>
          <xdr:col>8</xdr:col>
          <xdr:colOff>868680</xdr:colOff>
          <xdr:row>27</xdr:row>
          <xdr:rowOff>190500</xdr:rowOff>
        </xdr:to>
        <xdr:sp macro="" textlink="">
          <xdr:nvSpPr>
            <xdr:cNvPr id="58374" name="Button 6" hidden="1">
              <a:extLst>
                <a:ext uri="{63B3BB69-23CF-44E3-9099-C40C66FF867C}">
                  <a14:compatExt spid="_x0000_s58374"/>
                </a:ext>
                <a:ext uri="{FF2B5EF4-FFF2-40B4-BE49-F238E27FC236}">
                  <a16:creationId xmlns:a16="http://schemas.microsoft.com/office/drawing/2014/main" id="{00000000-0008-0000-0A00-000006E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Location Adj.</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26</xdr:row>
          <xdr:rowOff>114300</xdr:rowOff>
        </xdr:from>
        <xdr:to>
          <xdr:col>12</xdr:col>
          <xdr:colOff>160020</xdr:colOff>
          <xdr:row>28</xdr:row>
          <xdr:rowOff>22860</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0B00-0000014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Clear Adjustments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26</xdr:row>
          <xdr:rowOff>7620</xdr:rowOff>
        </xdr:from>
        <xdr:to>
          <xdr:col>9</xdr:col>
          <xdr:colOff>373380</xdr:colOff>
          <xdr:row>27</xdr:row>
          <xdr:rowOff>0</xdr:rowOff>
        </xdr:to>
        <xdr:sp macro="" textlink="">
          <xdr:nvSpPr>
            <xdr:cNvPr id="81922" name="Button 2" hidden="1">
              <a:extLst>
                <a:ext uri="{63B3BB69-23CF-44E3-9099-C40C66FF867C}">
                  <a14:compatExt spid="_x0000_s81922"/>
                </a:ext>
                <a:ext uri="{FF2B5EF4-FFF2-40B4-BE49-F238E27FC236}">
                  <a16:creationId xmlns:a16="http://schemas.microsoft.com/office/drawing/2014/main" id="{00000000-0008-0000-0B00-0000024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Location Adj.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22860</xdr:colOff>
          <xdr:row>25</xdr:row>
          <xdr:rowOff>0</xdr:rowOff>
        </xdr:from>
        <xdr:to>
          <xdr:col>9</xdr:col>
          <xdr:colOff>365760</xdr:colOff>
          <xdr:row>26</xdr:row>
          <xdr:rowOff>0</xdr:rowOff>
        </xdr:to>
        <xdr:sp macro="" textlink="">
          <xdr:nvSpPr>
            <xdr:cNvPr id="81923" name="Button 3" hidden="1">
              <a:extLst>
                <a:ext uri="{63B3BB69-23CF-44E3-9099-C40C66FF867C}">
                  <a14:compatExt spid="_x0000_s81923"/>
                </a:ext>
                <a:ext uri="{FF2B5EF4-FFF2-40B4-BE49-F238E27FC236}">
                  <a16:creationId xmlns:a16="http://schemas.microsoft.com/office/drawing/2014/main" id="{00000000-0008-0000-0B00-0000034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Lot Size Adj.</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609600</xdr:colOff>
          <xdr:row>7</xdr:row>
          <xdr:rowOff>175260</xdr:rowOff>
        </xdr:from>
        <xdr:to>
          <xdr:col>10</xdr:col>
          <xdr:colOff>274320</xdr:colOff>
          <xdr:row>10</xdr:row>
          <xdr:rowOff>175260</xdr:rowOff>
        </xdr:to>
        <xdr:sp macro="" textlink="">
          <xdr:nvSpPr>
            <xdr:cNvPr id="152613" name="Button 37" hidden="1">
              <a:extLst>
                <a:ext uri="{63B3BB69-23CF-44E3-9099-C40C66FF867C}">
                  <a14:compatExt spid="_x0000_s152613"/>
                </a:ext>
                <a:ext uri="{FF2B5EF4-FFF2-40B4-BE49-F238E27FC236}">
                  <a16:creationId xmlns:a16="http://schemas.microsoft.com/office/drawing/2014/main" id="{00000000-0008-0000-0D00-0000255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Parcel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342900</xdr:colOff>
          <xdr:row>8</xdr:row>
          <xdr:rowOff>0</xdr:rowOff>
        </xdr:from>
        <xdr:to>
          <xdr:col>13</xdr:col>
          <xdr:colOff>30480</xdr:colOff>
          <xdr:row>10</xdr:row>
          <xdr:rowOff>182880</xdr:rowOff>
        </xdr:to>
        <xdr:sp macro="" textlink="">
          <xdr:nvSpPr>
            <xdr:cNvPr id="152614" name="Button 38" hidden="1">
              <a:extLst>
                <a:ext uri="{63B3BB69-23CF-44E3-9099-C40C66FF867C}">
                  <a14:compatExt spid="_x0000_s152614"/>
                </a:ext>
                <a:ext uri="{FF2B5EF4-FFF2-40B4-BE49-F238E27FC236}">
                  <a16:creationId xmlns:a16="http://schemas.microsoft.com/office/drawing/2014/main" id="{00000000-0008-0000-0D00-0000265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Paste Image From Clipboard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601980</xdr:colOff>
          <xdr:row>11</xdr:row>
          <xdr:rowOff>7620</xdr:rowOff>
        </xdr:from>
        <xdr:to>
          <xdr:col>10</xdr:col>
          <xdr:colOff>274320</xdr:colOff>
          <xdr:row>14</xdr:row>
          <xdr:rowOff>7620</xdr:rowOff>
        </xdr:to>
        <xdr:sp macro="" textlink="">
          <xdr:nvSpPr>
            <xdr:cNvPr id="152617" name="Button 41" hidden="1">
              <a:extLst>
                <a:ext uri="{63B3BB69-23CF-44E3-9099-C40C66FF867C}">
                  <a14:compatExt spid="_x0000_s152617"/>
                </a:ext>
                <a:ext uri="{FF2B5EF4-FFF2-40B4-BE49-F238E27FC236}">
                  <a16:creationId xmlns:a16="http://schemas.microsoft.com/office/drawing/2014/main" id="{00000000-0008-0000-0D00-0000295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Google Map 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609600</xdr:colOff>
          <xdr:row>4</xdr:row>
          <xdr:rowOff>175260</xdr:rowOff>
        </xdr:from>
        <xdr:to>
          <xdr:col>10</xdr:col>
          <xdr:colOff>274320</xdr:colOff>
          <xdr:row>7</xdr:row>
          <xdr:rowOff>175260</xdr:rowOff>
        </xdr:to>
        <xdr:sp macro="" textlink="">
          <xdr:nvSpPr>
            <xdr:cNvPr id="152618" name="Button 42" hidden="1">
              <a:extLst>
                <a:ext uri="{63B3BB69-23CF-44E3-9099-C40C66FF867C}">
                  <a14:compatExt spid="_x0000_s152618"/>
                </a:ext>
                <a:ext uri="{FF2B5EF4-FFF2-40B4-BE49-F238E27FC236}">
                  <a16:creationId xmlns:a16="http://schemas.microsoft.com/office/drawing/2014/main" id="{00000000-0008-0000-0D00-00002A5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Open Google Image 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609600</xdr:colOff>
          <xdr:row>57</xdr:row>
          <xdr:rowOff>175260</xdr:rowOff>
        </xdr:from>
        <xdr:to>
          <xdr:col>10</xdr:col>
          <xdr:colOff>274320</xdr:colOff>
          <xdr:row>60</xdr:row>
          <xdr:rowOff>175260</xdr:rowOff>
        </xdr:to>
        <xdr:sp macro="" textlink="">
          <xdr:nvSpPr>
            <xdr:cNvPr id="152638" name="Button 62" hidden="1">
              <a:extLst>
                <a:ext uri="{63B3BB69-23CF-44E3-9099-C40C66FF867C}">
                  <a14:compatExt spid="_x0000_s152638"/>
                </a:ext>
                <a:ext uri="{FF2B5EF4-FFF2-40B4-BE49-F238E27FC236}">
                  <a16:creationId xmlns:a16="http://schemas.microsoft.com/office/drawing/2014/main" id="{00000000-0008-0000-0D00-00003E5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Parcel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342900</xdr:colOff>
          <xdr:row>58</xdr:row>
          <xdr:rowOff>0</xdr:rowOff>
        </xdr:from>
        <xdr:to>
          <xdr:col>13</xdr:col>
          <xdr:colOff>30480</xdr:colOff>
          <xdr:row>60</xdr:row>
          <xdr:rowOff>182880</xdr:rowOff>
        </xdr:to>
        <xdr:sp macro="" textlink="">
          <xdr:nvSpPr>
            <xdr:cNvPr id="152639" name="Button 63" hidden="1">
              <a:extLst>
                <a:ext uri="{63B3BB69-23CF-44E3-9099-C40C66FF867C}">
                  <a14:compatExt spid="_x0000_s152639"/>
                </a:ext>
                <a:ext uri="{FF2B5EF4-FFF2-40B4-BE49-F238E27FC236}">
                  <a16:creationId xmlns:a16="http://schemas.microsoft.com/office/drawing/2014/main" id="{00000000-0008-0000-0D00-00003F5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Paste Image From Clipboard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601980</xdr:colOff>
          <xdr:row>61</xdr:row>
          <xdr:rowOff>7620</xdr:rowOff>
        </xdr:from>
        <xdr:to>
          <xdr:col>10</xdr:col>
          <xdr:colOff>274320</xdr:colOff>
          <xdr:row>64</xdr:row>
          <xdr:rowOff>7620</xdr:rowOff>
        </xdr:to>
        <xdr:sp macro="" textlink="">
          <xdr:nvSpPr>
            <xdr:cNvPr id="152640" name="Button 64" hidden="1">
              <a:extLst>
                <a:ext uri="{63B3BB69-23CF-44E3-9099-C40C66FF867C}">
                  <a14:compatExt spid="_x0000_s152640"/>
                </a:ext>
                <a:ext uri="{FF2B5EF4-FFF2-40B4-BE49-F238E27FC236}">
                  <a16:creationId xmlns:a16="http://schemas.microsoft.com/office/drawing/2014/main" id="{00000000-0008-0000-0D00-0000405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Google Map 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609600</xdr:colOff>
          <xdr:row>54</xdr:row>
          <xdr:rowOff>175260</xdr:rowOff>
        </xdr:from>
        <xdr:to>
          <xdr:col>10</xdr:col>
          <xdr:colOff>274320</xdr:colOff>
          <xdr:row>57</xdr:row>
          <xdr:rowOff>175260</xdr:rowOff>
        </xdr:to>
        <xdr:sp macro="" textlink="">
          <xdr:nvSpPr>
            <xdr:cNvPr id="152641" name="Button 65" hidden="1">
              <a:extLst>
                <a:ext uri="{63B3BB69-23CF-44E3-9099-C40C66FF867C}">
                  <a14:compatExt spid="_x0000_s152641"/>
                </a:ext>
                <a:ext uri="{FF2B5EF4-FFF2-40B4-BE49-F238E27FC236}">
                  <a16:creationId xmlns:a16="http://schemas.microsoft.com/office/drawing/2014/main" id="{00000000-0008-0000-0D00-0000415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Open Google Image 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609600</xdr:colOff>
          <xdr:row>107</xdr:row>
          <xdr:rowOff>175260</xdr:rowOff>
        </xdr:from>
        <xdr:to>
          <xdr:col>10</xdr:col>
          <xdr:colOff>274320</xdr:colOff>
          <xdr:row>110</xdr:row>
          <xdr:rowOff>175260</xdr:rowOff>
        </xdr:to>
        <xdr:sp macro="" textlink="">
          <xdr:nvSpPr>
            <xdr:cNvPr id="152642" name="Button 66" hidden="1">
              <a:extLst>
                <a:ext uri="{63B3BB69-23CF-44E3-9099-C40C66FF867C}">
                  <a14:compatExt spid="_x0000_s152642"/>
                </a:ext>
                <a:ext uri="{FF2B5EF4-FFF2-40B4-BE49-F238E27FC236}">
                  <a16:creationId xmlns:a16="http://schemas.microsoft.com/office/drawing/2014/main" id="{00000000-0008-0000-0D00-0000425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Parcel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342900</xdr:colOff>
          <xdr:row>108</xdr:row>
          <xdr:rowOff>0</xdr:rowOff>
        </xdr:from>
        <xdr:to>
          <xdr:col>13</xdr:col>
          <xdr:colOff>30480</xdr:colOff>
          <xdr:row>110</xdr:row>
          <xdr:rowOff>182880</xdr:rowOff>
        </xdr:to>
        <xdr:sp macro="" textlink="">
          <xdr:nvSpPr>
            <xdr:cNvPr id="152643" name="Button 67" hidden="1">
              <a:extLst>
                <a:ext uri="{63B3BB69-23CF-44E3-9099-C40C66FF867C}">
                  <a14:compatExt spid="_x0000_s152643"/>
                </a:ext>
                <a:ext uri="{FF2B5EF4-FFF2-40B4-BE49-F238E27FC236}">
                  <a16:creationId xmlns:a16="http://schemas.microsoft.com/office/drawing/2014/main" id="{00000000-0008-0000-0D00-0000435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Paste Image From Clipboard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601980</xdr:colOff>
          <xdr:row>111</xdr:row>
          <xdr:rowOff>7620</xdr:rowOff>
        </xdr:from>
        <xdr:to>
          <xdr:col>10</xdr:col>
          <xdr:colOff>274320</xdr:colOff>
          <xdr:row>114</xdr:row>
          <xdr:rowOff>7620</xdr:rowOff>
        </xdr:to>
        <xdr:sp macro="" textlink="">
          <xdr:nvSpPr>
            <xdr:cNvPr id="152644" name="Button 68" hidden="1">
              <a:extLst>
                <a:ext uri="{63B3BB69-23CF-44E3-9099-C40C66FF867C}">
                  <a14:compatExt spid="_x0000_s152644"/>
                </a:ext>
                <a:ext uri="{FF2B5EF4-FFF2-40B4-BE49-F238E27FC236}">
                  <a16:creationId xmlns:a16="http://schemas.microsoft.com/office/drawing/2014/main" id="{00000000-0008-0000-0D00-0000445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Google Map 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609600</xdr:colOff>
          <xdr:row>104</xdr:row>
          <xdr:rowOff>175260</xdr:rowOff>
        </xdr:from>
        <xdr:to>
          <xdr:col>10</xdr:col>
          <xdr:colOff>274320</xdr:colOff>
          <xdr:row>107</xdr:row>
          <xdr:rowOff>175260</xdr:rowOff>
        </xdr:to>
        <xdr:sp macro="" textlink="">
          <xdr:nvSpPr>
            <xdr:cNvPr id="152645" name="Button 69" hidden="1">
              <a:extLst>
                <a:ext uri="{63B3BB69-23CF-44E3-9099-C40C66FF867C}">
                  <a14:compatExt spid="_x0000_s152645"/>
                </a:ext>
                <a:ext uri="{FF2B5EF4-FFF2-40B4-BE49-F238E27FC236}">
                  <a16:creationId xmlns:a16="http://schemas.microsoft.com/office/drawing/2014/main" id="{00000000-0008-0000-0D00-0000455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Open Google Image 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609600</xdr:colOff>
          <xdr:row>157</xdr:row>
          <xdr:rowOff>175260</xdr:rowOff>
        </xdr:from>
        <xdr:to>
          <xdr:col>10</xdr:col>
          <xdr:colOff>274320</xdr:colOff>
          <xdr:row>160</xdr:row>
          <xdr:rowOff>175260</xdr:rowOff>
        </xdr:to>
        <xdr:sp macro="" textlink="">
          <xdr:nvSpPr>
            <xdr:cNvPr id="152646" name="Button 70" hidden="1">
              <a:extLst>
                <a:ext uri="{63B3BB69-23CF-44E3-9099-C40C66FF867C}">
                  <a14:compatExt spid="_x0000_s152646"/>
                </a:ext>
                <a:ext uri="{FF2B5EF4-FFF2-40B4-BE49-F238E27FC236}">
                  <a16:creationId xmlns:a16="http://schemas.microsoft.com/office/drawing/2014/main" id="{00000000-0008-0000-0D00-0000465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Parcel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342900</xdr:colOff>
          <xdr:row>158</xdr:row>
          <xdr:rowOff>0</xdr:rowOff>
        </xdr:from>
        <xdr:to>
          <xdr:col>13</xdr:col>
          <xdr:colOff>30480</xdr:colOff>
          <xdr:row>160</xdr:row>
          <xdr:rowOff>182880</xdr:rowOff>
        </xdr:to>
        <xdr:sp macro="" textlink="">
          <xdr:nvSpPr>
            <xdr:cNvPr id="152647" name="Button 71" hidden="1">
              <a:extLst>
                <a:ext uri="{63B3BB69-23CF-44E3-9099-C40C66FF867C}">
                  <a14:compatExt spid="_x0000_s152647"/>
                </a:ext>
                <a:ext uri="{FF2B5EF4-FFF2-40B4-BE49-F238E27FC236}">
                  <a16:creationId xmlns:a16="http://schemas.microsoft.com/office/drawing/2014/main" id="{00000000-0008-0000-0D00-0000475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Paste Image From Clipboard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601980</xdr:colOff>
          <xdr:row>161</xdr:row>
          <xdr:rowOff>7620</xdr:rowOff>
        </xdr:from>
        <xdr:to>
          <xdr:col>10</xdr:col>
          <xdr:colOff>274320</xdr:colOff>
          <xdr:row>164</xdr:row>
          <xdr:rowOff>7620</xdr:rowOff>
        </xdr:to>
        <xdr:sp macro="" textlink="">
          <xdr:nvSpPr>
            <xdr:cNvPr id="152648" name="Button 72" hidden="1">
              <a:extLst>
                <a:ext uri="{63B3BB69-23CF-44E3-9099-C40C66FF867C}">
                  <a14:compatExt spid="_x0000_s152648"/>
                </a:ext>
                <a:ext uri="{FF2B5EF4-FFF2-40B4-BE49-F238E27FC236}">
                  <a16:creationId xmlns:a16="http://schemas.microsoft.com/office/drawing/2014/main" id="{00000000-0008-0000-0D00-0000485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Google Map 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609600</xdr:colOff>
          <xdr:row>154</xdr:row>
          <xdr:rowOff>175260</xdr:rowOff>
        </xdr:from>
        <xdr:to>
          <xdr:col>10</xdr:col>
          <xdr:colOff>274320</xdr:colOff>
          <xdr:row>157</xdr:row>
          <xdr:rowOff>175260</xdr:rowOff>
        </xdr:to>
        <xdr:sp macro="" textlink="">
          <xdr:nvSpPr>
            <xdr:cNvPr id="152649" name="Button 73" hidden="1">
              <a:extLst>
                <a:ext uri="{63B3BB69-23CF-44E3-9099-C40C66FF867C}">
                  <a14:compatExt spid="_x0000_s152649"/>
                </a:ext>
                <a:ext uri="{FF2B5EF4-FFF2-40B4-BE49-F238E27FC236}">
                  <a16:creationId xmlns:a16="http://schemas.microsoft.com/office/drawing/2014/main" id="{00000000-0008-0000-0D00-00004954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Open Google Image Search</a:t>
              </a:r>
            </a:p>
          </xdr:txBody>
        </xdr:sp>
        <xdr:clientData fPrintsWithSheet="0"/>
      </xdr:twoCellAnchor>
    </mc:Choice>
    <mc:Fallback/>
  </mc:AlternateContent>
  <xdr:twoCellAnchor editAs="oneCell">
    <xdr:from>
      <xdr:col>1</xdr:col>
      <xdr:colOff>53340</xdr:colOff>
      <xdr:row>178</xdr:row>
      <xdr:rowOff>25401</xdr:rowOff>
    </xdr:from>
    <xdr:to>
      <xdr:col>6</xdr:col>
      <xdr:colOff>853440</xdr:colOff>
      <xdr:row>198</xdr:row>
      <xdr:rowOff>177801</xdr:rowOff>
    </xdr:to>
    <xdr:pic>
      <xdr:nvPicPr>
        <xdr:cNvPr id="4" name="Picture 3" descr="https://www.google.com/maps/search/?api=1&amp;query=3403+DURAHART+ST%2C+RIVERSIDE%2C+CA">
          <a:extLst>
            <a:ext uri="{FF2B5EF4-FFF2-40B4-BE49-F238E27FC236}">
              <a16:creationId xmlns:a16="http://schemas.microsoft.com/office/drawing/2014/main" id="{E30AEB7A-C509-D675-0F4F-11346819545B}"/>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60120" y="32570421"/>
          <a:ext cx="5334000" cy="3810000"/>
        </a:xfrm>
        <a:prstGeom prst="rect">
          <a:avLst/>
        </a:prstGeom>
        <a:ln w="12700">
          <a:solidFill>
            <a:prstClr val="black"/>
          </a:solidFill>
        </a:ln>
      </xdr:spPr>
    </xdr:pic>
    <xdr:clientData/>
  </xdr:twoCellAnchor>
  <xdr:twoCellAnchor editAs="oneCell">
    <xdr:from>
      <xdr:col>0</xdr:col>
      <xdr:colOff>771820</xdr:colOff>
      <xdr:row>151</xdr:row>
      <xdr:rowOff>182879</xdr:rowOff>
    </xdr:from>
    <xdr:to>
      <xdr:col>7</xdr:col>
      <xdr:colOff>134960</xdr:colOff>
      <xdr:row>172</xdr:row>
      <xdr:rowOff>152399</xdr:rowOff>
    </xdr:to>
    <xdr:pic>
      <xdr:nvPicPr>
        <xdr:cNvPr id="6" name="Picture 5">
          <a:extLst>
            <a:ext uri="{FF2B5EF4-FFF2-40B4-BE49-F238E27FC236}">
              <a16:creationId xmlns:a16="http://schemas.microsoft.com/office/drawing/2014/main" id="{2A17C0F7-075E-BBD9-3A6A-21B5A4120FAF}"/>
            </a:ext>
          </a:extLst>
        </xdr:cNvPr>
        <xdr:cNvPicPr>
          <a:picLocks noChangeAspect="1"/>
        </xdr:cNvPicPr>
      </xdr:nvPicPr>
      <xdr:blipFill>
        <a:blip xmlns:r="http://schemas.openxmlformats.org/officeDocument/2006/relationships" r:embed="rId2"/>
        <a:stretch>
          <a:fillRect/>
        </a:stretch>
      </xdr:blipFill>
      <xdr:spPr>
        <a:xfrm>
          <a:off x="771820" y="27790139"/>
          <a:ext cx="5710600" cy="3810000"/>
        </a:xfrm>
        <a:prstGeom prst="rect">
          <a:avLst/>
        </a:prstGeom>
        <a:ln w="12700">
          <a:solidFill>
            <a:srgbClr val="000000"/>
          </a:solidFill>
        </a:ln>
      </xdr:spPr>
    </xdr:pic>
    <xdr:clientData/>
  </xdr:twoCellAnchor>
  <xdr:twoCellAnchor editAs="oneCell">
    <xdr:from>
      <xdr:col>0</xdr:col>
      <xdr:colOff>683442</xdr:colOff>
      <xdr:row>2</xdr:row>
      <xdr:rowOff>0</xdr:rowOff>
    </xdr:from>
    <xdr:to>
      <xdr:col>7</xdr:col>
      <xdr:colOff>223339</xdr:colOff>
      <xdr:row>22</xdr:row>
      <xdr:rowOff>152400</xdr:rowOff>
    </xdr:to>
    <xdr:pic>
      <xdr:nvPicPr>
        <xdr:cNvPr id="7" name="Picture 6">
          <a:extLst>
            <a:ext uri="{FF2B5EF4-FFF2-40B4-BE49-F238E27FC236}">
              <a16:creationId xmlns:a16="http://schemas.microsoft.com/office/drawing/2014/main" id="{D196C769-25B2-9D11-1610-BF581A5FEBB8}"/>
            </a:ext>
          </a:extLst>
        </xdr:cNvPr>
        <xdr:cNvPicPr>
          <a:picLocks noChangeAspect="1"/>
        </xdr:cNvPicPr>
      </xdr:nvPicPr>
      <xdr:blipFill>
        <a:blip xmlns:r="http://schemas.openxmlformats.org/officeDocument/2006/relationships" r:embed="rId3"/>
        <a:stretch>
          <a:fillRect/>
        </a:stretch>
      </xdr:blipFill>
      <xdr:spPr>
        <a:xfrm>
          <a:off x="683442" y="365760"/>
          <a:ext cx="5887357" cy="3810000"/>
        </a:xfrm>
        <a:prstGeom prst="rect">
          <a:avLst/>
        </a:prstGeom>
        <a:ln w="12700">
          <a:solidFill>
            <a:srgbClr val="000000"/>
          </a:solidFill>
        </a:ln>
      </xdr:spPr>
    </xdr:pic>
    <xdr:clientData/>
  </xdr:twoCellAnchor>
  <xdr:twoCellAnchor editAs="oneCell">
    <xdr:from>
      <xdr:col>1</xdr:col>
      <xdr:colOff>53340</xdr:colOff>
      <xdr:row>28</xdr:row>
      <xdr:rowOff>25400</xdr:rowOff>
    </xdr:from>
    <xdr:to>
      <xdr:col>6</xdr:col>
      <xdr:colOff>853440</xdr:colOff>
      <xdr:row>48</xdr:row>
      <xdr:rowOff>177800</xdr:rowOff>
    </xdr:to>
    <xdr:pic>
      <xdr:nvPicPr>
        <xdr:cNvPr id="9" name="Picture 8" descr="https://www.google.com/maps/search/?api=1&amp;query=255+GLIDER+CIR%2C+CORONA%2C+CA">
          <a:extLst>
            <a:ext uri="{FF2B5EF4-FFF2-40B4-BE49-F238E27FC236}">
              <a16:creationId xmlns:a16="http://schemas.microsoft.com/office/drawing/2014/main" id="{2A3B7691-95DE-3F1E-26A5-AFDC1F535E52}"/>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960120" y="5138420"/>
          <a:ext cx="5334000" cy="3810000"/>
        </a:xfrm>
        <a:prstGeom prst="rect">
          <a:avLst/>
        </a:prstGeom>
        <a:ln w="12700">
          <a:solidFill>
            <a:prstClr val="black"/>
          </a:solidFill>
        </a:ln>
      </xdr:spPr>
    </xdr:pic>
    <xdr:clientData/>
  </xdr:twoCellAnchor>
  <xdr:twoCellAnchor editAs="oneCell">
    <xdr:from>
      <xdr:col>1</xdr:col>
      <xdr:colOff>53340</xdr:colOff>
      <xdr:row>78</xdr:row>
      <xdr:rowOff>25400</xdr:rowOff>
    </xdr:from>
    <xdr:to>
      <xdr:col>6</xdr:col>
      <xdr:colOff>853440</xdr:colOff>
      <xdr:row>98</xdr:row>
      <xdr:rowOff>177800</xdr:rowOff>
    </xdr:to>
    <xdr:pic>
      <xdr:nvPicPr>
        <xdr:cNvPr id="13" name="Picture 12" descr="https://www.google.com/maps/search/?api=1&amp;query=127+RADIO+RD%2C+CORONA%2C+CA">
          <a:extLst>
            <a:ext uri="{FF2B5EF4-FFF2-40B4-BE49-F238E27FC236}">
              <a16:creationId xmlns:a16="http://schemas.microsoft.com/office/drawing/2014/main" id="{EE79EDC5-B1DF-F126-3C76-4996A2CC1330}"/>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60120" y="14282420"/>
          <a:ext cx="5334000" cy="3810000"/>
        </a:xfrm>
        <a:prstGeom prst="rect">
          <a:avLst/>
        </a:prstGeom>
        <a:ln w="12700">
          <a:solidFill>
            <a:prstClr val="black"/>
          </a:solidFill>
        </a:ln>
      </xdr:spPr>
    </xdr:pic>
    <xdr:clientData/>
  </xdr:twoCellAnchor>
  <xdr:twoCellAnchor editAs="oneCell">
    <xdr:from>
      <xdr:col>0</xdr:col>
      <xdr:colOff>604272</xdr:colOff>
      <xdr:row>52</xdr:row>
      <xdr:rowOff>0</xdr:rowOff>
    </xdr:from>
    <xdr:to>
      <xdr:col>7</xdr:col>
      <xdr:colOff>302509</xdr:colOff>
      <xdr:row>72</xdr:row>
      <xdr:rowOff>152400</xdr:rowOff>
    </xdr:to>
    <xdr:pic>
      <xdr:nvPicPr>
        <xdr:cNvPr id="14" name="Picture 13">
          <a:extLst>
            <a:ext uri="{FF2B5EF4-FFF2-40B4-BE49-F238E27FC236}">
              <a16:creationId xmlns:a16="http://schemas.microsoft.com/office/drawing/2014/main" id="{E1D109A3-5D3F-672C-98F9-B16162AF0AF7}"/>
            </a:ext>
          </a:extLst>
        </xdr:cNvPr>
        <xdr:cNvPicPr>
          <a:picLocks noChangeAspect="1"/>
        </xdr:cNvPicPr>
      </xdr:nvPicPr>
      <xdr:blipFill>
        <a:blip xmlns:r="http://schemas.openxmlformats.org/officeDocument/2006/relationships" r:embed="rId6"/>
        <a:stretch>
          <a:fillRect/>
        </a:stretch>
      </xdr:blipFill>
      <xdr:spPr>
        <a:xfrm>
          <a:off x="604272" y="9502140"/>
          <a:ext cx="6045697" cy="3810000"/>
        </a:xfrm>
        <a:prstGeom prst="rect">
          <a:avLst/>
        </a:prstGeom>
        <a:ln w="12700">
          <a:solidFill>
            <a:srgbClr val="000000"/>
          </a:solidFill>
        </a:ln>
      </xdr:spPr>
    </xdr:pic>
    <xdr:clientData/>
  </xdr:twoCellAnchor>
  <xdr:twoCellAnchor editAs="oneCell">
    <xdr:from>
      <xdr:col>1</xdr:col>
      <xdr:colOff>53340</xdr:colOff>
      <xdr:row>128</xdr:row>
      <xdr:rowOff>25400</xdr:rowOff>
    </xdr:from>
    <xdr:to>
      <xdr:col>6</xdr:col>
      <xdr:colOff>853440</xdr:colOff>
      <xdr:row>148</xdr:row>
      <xdr:rowOff>177800</xdr:rowOff>
    </xdr:to>
    <xdr:pic>
      <xdr:nvPicPr>
        <xdr:cNvPr id="16" name="Picture 15" descr="https://www.google.com/maps/search/?api=1&amp;query=1220+GRAPHITE+DR%2C+CORONA%2C+CA">
          <a:extLst>
            <a:ext uri="{FF2B5EF4-FFF2-40B4-BE49-F238E27FC236}">
              <a16:creationId xmlns:a16="http://schemas.microsoft.com/office/drawing/2014/main" id="{3013C4D5-7693-C456-FE6D-EB0581BAA377}"/>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960120" y="23426420"/>
          <a:ext cx="5334000" cy="3810000"/>
        </a:xfrm>
        <a:prstGeom prst="rect">
          <a:avLst/>
        </a:prstGeom>
        <a:ln w="12700">
          <a:solidFill>
            <a:prstClr val="black"/>
          </a:solidFill>
        </a:ln>
      </xdr:spPr>
    </xdr:pic>
    <xdr:clientData/>
  </xdr:twoCellAnchor>
  <xdr:twoCellAnchor editAs="oneCell">
    <xdr:from>
      <xdr:col>1</xdr:col>
      <xdr:colOff>182943</xdr:colOff>
      <xdr:row>101</xdr:row>
      <xdr:rowOff>182879</xdr:rowOff>
    </xdr:from>
    <xdr:to>
      <xdr:col>6</xdr:col>
      <xdr:colOff>723838</xdr:colOff>
      <xdr:row>122</xdr:row>
      <xdr:rowOff>152399</xdr:rowOff>
    </xdr:to>
    <xdr:pic>
      <xdr:nvPicPr>
        <xdr:cNvPr id="17" name="Picture 16">
          <a:extLst>
            <a:ext uri="{FF2B5EF4-FFF2-40B4-BE49-F238E27FC236}">
              <a16:creationId xmlns:a16="http://schemas.microsoft.com/office/drawing/2014/main" id="{8C9AF954-B582-A18E-6155-5B549E4BC665}"/>
            </a:ext>
          </a:extLst>
        </xdr:cNvPr>
        <xdr:cNvPicPr>
          <a:picLocks noChangeAspect="1"/>
        </xdr:cNvPicPr>
      </xdr:nvPicPr>
      <xdr:blipFill>
        <a:blip xmlns:r="http://schemas.openxmlformats.org/officeDocument/2006/relationships" r:embed="rId8"/>
        <a:stretch>
          <a:fillRect/>
        </a:stretch>
      </xdr:blipFill>
      <xdr:spPr>
        <a:xfrm>
          <a:off x="1089723" y="18646139"/>
          <a:ext cx="5074795" cy="3810000"/>
        </a:xfrm>
        <a:prstGeom prst="rect">
          <a:avLst/>
        </a:prstGeom>
        <a:ln w="12700">
          <a:solidFill>
            <a:srgbClr val="000000"/>
          </a:solidFill>
        </a:ln>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388620</xdr:colOff>
          <xdr:row>8</xdr:row>
          <xdr:rowOff>182880</xdr:rowOff>
        </xdr:from>
        <xdr:to>
          <xdr:col>18</xdr:col>
          <xdr:colOff>518160</xdr:colOff>
          <xdr:row>12</xdr:row>
          <xdr:rowOff>83820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E00-0000013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Create Map</a:t>
              </a:r>
            </a:p>
            <a:p>
              <a:pPr algn="ctr" rtl="0">
                <a:defRPr sz="1000"/>
              </a:pPr>
              <a:r>
                <a:rPr lang="en-US" sz="1100" b="0" i="0" u="none" strike="noStrike" baseline="0">
                  <a:solidFill>
                    <a:srgbClr val="000000"/>
                  </a:solidFill>
                  <a:latin typeface="Calibri"/>
                  <a:ea typeface="Calibri"/>
                  <a:cs typeface="Calibri"/>
                </a:rPr>
                <a:t>(Click once and wait ~10s. Click</a:t>
              </a:r>
            </a:p>
            <a:p>
              <a:pPr algn="ctr" rtl="0">
                <a:defRPr sz="1000"/>
              </a:pPr>
              <a:r>
                <a:rPr lang="en-US" sz="1100" b="0" i="0" u="none" strike="noStrike" baseline="0">
                  <a:solidFill>
                    <a:srgbClr val="000000"/>
                  </a:solidFill>
                  <a:latin typeface="Calibri"/>
                  <a:ea typeface="Calibri"/>
                  <a:cs typeface="Calibri"/>
                </a:rPr>
                <a:t> 'Yes' on pop up.)</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403860</xdr:colOff>
          <xdr:row>13</xdr:row>
          <xdr:rowOff>99060</xdr:rowOff>
        </xdr:from>
        <xdr:to>
          <xdr:col>18</xdr:col>
          <xdr:colOff>518160</xdr:colOff>
          <xdr:row>16</xdr:row>
          <xdr:rowOff>182880</xdr:rowOff>
        </xdr:to>
        <xdr:sp macro="" textlink="">
          <xdr:nvSpPr>
            <xdr:cNvPr id="78851" name="Button 3" hidden="1">
              <a:extLst>
                <a:ext uri="{63B3BB69-23CF-44E3-9099-C40C66FF867C}">
                  <a14:compatExt spid="_x0000_s78851"/>
                </a:ext>
                <a:ext uri="{FF2B5EF4-FFF2-40B4-BE49-F238E27FC236}">
                  <a16:creationId xmlns:a16="http://schemas.microsoft.com/office/drawing/2014/main" id="{00000000-0008-0000-0E00-0000033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Paste Image From Clipboard</a:t>
              </a:r>
            </a:p>
          </xdr:txBody>
        </xdr:sp>
        <xdr:clientData fPrintsWithSheet="0"/>
      </xdr:twoCellAnchor>
    </mc:Choice>
    <mc:Fallback/>
  </mc:AlternateContent>
  <xdr:twoCellAnchor editAs="oneCell">
    <xdr:from>
      <xdr:col>0</xdr:col>
      <xdr:colOff>548051</xdr:colOff>
      <xdr:row>1</xdr:row>
      <xdr:rowOff>129540</xdr:rowOff>
    </xdr:from>
    <xdr:to>
      <xdr:col>14</xdr:col>
      <xdr:colOff>61550</xdr:colOff>
      <xdr:row>33</xdr:row>
      <xdr:rowOff>45720</xdr:rowOff>
    </xdr:to>
    <xdr:pic>
      <xdr:nvPicPr>
        <xdr:cNvPr id="2" name="Picture 1">
          <a:extLst>
            <a:ext uri="{FF2B5EF4-FFF2-40B4-BE49-F238E27FC236}">
              <a16:creationId xmlns:a16="http://schemas.microsoft.com/office/drawing/2014/main" id="{467134AC-3E23-DBF5-4047-1F189AA7CABE}"/>
            </a:ext>
          </a:extLst>
        </xdr:cNvPr>
        <xdr:cNvPicPr>
          <a:picLocks noChangeAspect="1"/>
        </xdr:cNvPicPr>
      </xdr:nvPicPr>
      <xdr:blipFill>
        <a:blip xmlns:r="http://schemas.openxmlformats.org/officeDocument/2006/relationships" r:embed="rId1"/>
        <a:stretch>
          <a:fillRect/>
        </a:stretch>
      </xdr:blipFill>
      <xdr:spPr>
        <a:xfrm>
          <a:off x="548051" y="304800"/>
          <a:ext cx="8154579" cy="5524500"/>
        </a:xfrm>
        <a:prstGeom prst="rect">
          <a:avLst/>
        </a:prstGeom>
        <a:ln w="12700" cap="flat" cmpd="sng" algn="ctr">
          <a:solidFill>
            <a:srgbClr val="000000"/>
          </a:solidFill>
          <a:prstDash val="solid"/>
          <a:round/>
          <a:headEnd type="none" w="med" len="med"/>
          <a:tailEnd type="none" w="med" len="med"/>
        </a:ln>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365760</xdr:colOff>
          <xdr:row>3</xdr:row>
          <xdr:rowOff>0</xdr:rowOff>
        </xdr:from>
        <xdr:to>
          <xdr:col>18</xdr:col>
          <xdr:colOff>350520</xdr:colOff>
          <xdr:row>6</xdr:row>
          <xdr:rowOff>0</xdr:rowOff>
        </xdr:to>
        <xdr:sp macro="" textlink="">
          <xdr:nvSpPr>
            <xdr:cNvPr id="320513" name="Button 1" hidden="1">
              <a:extLst>
                <a:ext uri="{63B3BB69-23CF-44E3-9099-C40C66FF867C}">
                  <a14:compatExt spid="_x0000_s320513"/>
                </a:ext>
                <a:ext uri="{FF2B5EF4-FFF2-40B4-BE49-F238E27FC236}">
                  <a16:creationId xmlns:a16="http://schemas.microsoft.com/office/drawing/2014/main" id="{00000000-0008-0000-1300-000001E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Paste From Clipboard</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34</xdr:col>
      <xdr:colOff>0</xdr:colOff>
      <xdr:row>1</xdr:row>
      <xdr:rowOff>0</xdr:rowOff>
    </xdr:from>
    <xdr:to>
      <xdr:col>48</xdr:col>
      <xdr:colOff>192966</xdr:colOff>
      <xdr:row>54</xdr:row>
      <xdr:rowOff>29301</xdr:rowOff>
    </xdr:to>
    <xdr:pic>
      <xdr:nvPicPr>
        <xdr:cNvPr id="2" name="Picture 1">
          <a:extLst>
            <a:ext uri="{FF2B5EF4-FFF2-40B4-BE49-F238E27FC236}">
              <a16:creationId xmlns:a16="http://schemas.microsoft.com/office/drawing/2014/main" id="{045683EE-8DBD-B5F6-B799-12FEAA8CD1E8}"/>
            </a:ext>
          </a:extLst>
        </xdr:cNvPr>
        <xdr:cNvPicPr>
          <a:picLocks noChangeAspect="1"/>
        </xdr:cNvPicPr>
      </xdr:nvPicPr>
      <xdr:blipFill>
        <a:blip xmlns:r="http://schemas.openxmlformats.org/officeDocument/2006/relationships" r:embed="rId1"/>
        <a:stretch>
          <a:fillRect/>
        </a:stretch>
      </xdr:blipFill>
      <xdr:spPr>
        <a:xfrm>
          <a:off x="8796130" y="57978"/>
          <a:ext cx="8773749" cy="7459116"/>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312420</xdr:colOff>
          <xdr:row>3</xdr:row>
          <xdr:rowOff>0</xdr:rowOff>
        </xdr:from>
        <xdr:to>
          <xdr:col>15</xdr:col>
          <xdr:colOff>304800</xdr:colOff>
          <xdr:row>6</xdr:row>
          <xdr:rowOff>0</xdr:rowOff>
        </xdr:to>
        <xdr:sp macro="" textlink="">
          <xdr:nvSpPr>
            <xdr:cNvPr id="104449" name="Button 1" hidden="1">
              <a:extLst>
                <a:ext uri="{63B3BB69-23CF-44E3-9099-C40C66FF867C}">
                  <a14:compatExt spid="_x0000_s104449"/>
                </a:ext>
                <a:ext uri="{FF2B5EF4-FFF2-40B4-BE49-F238E27FC236}">
                  <a16:creationId xmlns:a16="http://schemas.microsoft.com/office/drawing/2014/main" id="{00000000-0008-0000-1500-0000019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Paste From Clipboard</a:t>
              </a:r>
            </a:p>
          </xdr:txBody>
        </xdr:sp>
        <xdr:clientData fPrintsWithSheet="0"/>
      </xdr:twoCellAnchor>
    </mc:Choice>
    <mc:Fallback/>
  </mc:AlternateContent>
  <xdr:twoCellAnchor editAs="oneCell">
    <xdr:from>
      <xdr:col>0</xdr:col>
      <xdr:colOff>342993</xdr:colOff>
      <xdr:row>0</xdr:row>
      <xdr:rowOff>11430</xdr:rowOff>
    </xdr:from>
    <xdr:to>
      <xdr:col>10</xdr:col>
      <xdr:colOff>350426</xdr:colOff>
      <xdr:row>46</xdr:row>
      <xdr:rowOff>171450</xdr:rowOff>
    </xdr:to>
    <xdr:pic>
      <xdr:nvPicPr>
        <xdr:cNvPr id="3" name="Picture 2">
          <a:extLst>
            <a:ext uri="{FF2B5EF4-FFF2-40B4-BE49-F238E27FC236}">
              <a16:creationId xmlns:a16="http://schemas.microsoft.com/office/drawing/2014/main" id="{DA4E6919-1F58-B88F-F9D4-0AE525FE84BA}"/>
            </a:ext>
          </a:extLst>
        </xdr:cNvPr>
        <xdr:cNvPicPr>
          <a:picLocks noChangeAspect="1"/>
        </xdr:cNvPicPr>
      </xdr:nvPicPr>
      <xdr:blipFill>
        <a:blip xmlns:r="http://schemas.openxmlformats.org/officeDocument/2006/relationships" r:embed="rId1"/>
        <a:stretch>
          <a:fillRect/>
        </a:stretch>
      </xdr:blipFill>
      <xdr:spPr>
        <a:xfrm>
          <a:off x="342993" y="11430"/>
          <a:ext cx="6461573" cy="8572500"/>
        </a:xfrm>
        <a:prstGeom prst="rect">
          <a:avLst/>
        </a:prstGeom>
        <a:ln w="12700" cap="flat" cmpd="sng" algn="ctr">
          <a:solidFill>
            <a:srgbClr val="000000"/>
          </a:solidFill>
          <a:prstDash val="solid"/>
          <a:round/>
          <a:headEnd type="none" w="med" len="med"/>
          <a:tailEnd type="none" w="med" len="med"/>
        </a:ln>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312420</xdr:colOff>
          <xdr:row>3</xdr:row>
          <xdr:rowOff>0</xdr:rowOff>
        </xdr:from>
        <xdr:to>
          <xdr:col>15</xdr:col>
          <xdr:colOff>304800</xdr:colOff>
          <xdr:row>6</xdr:row>
          <xdr:rowOff>0</xdr:rowOff>
        </xdr:to>
        <xdr:sp macro="" textlink="">
          <xdr:nvSpPr>
            <xdr:cNvPr id="210945" name="Button 1" hidden="1">
              <a:extLst>
                <a:ext uri="{63B3BB69-23CF-44E3-9099-C40C66FF867C}">
                  <a14:compatExt spid="_x0000_s210945"/>
                </a:ext>
                <a:ext uri="{FF2B5EF4-FFF2-40B4-BE49-F238E27FC236}">
                  <a16:creationId xmlns:a16="http://schemas.microsoft.com/office/drawing/2014/main" id="{00000000-0008-0000-1600-0000013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Paste From Clipboard</a:t>
              </a:r>
            </a:p>
          </xdr:txBody>
        </xdr:sp>
        <xdr:clientData fPrintsWithSheet="0"/>
      </xdr:twoCellAnchor>
    </mc:Choice>
    <mc:Fallback/>
  </mc:AlternateContent>
  <xdr:twoCellAnchor editAs="oneCell">
    <xdr:from>
      <xdr:col>0</xdr:col>
      <xdr:colOff>519934</xdr:colOff>
      <xdr:row>0</xdr:row>
      <xdr:rowOff>11430</xdr:rowOff>
    </xdr:from>
    <xdr:to>
      <xdr:col>10</xdr:col>
      <xdr:colOff>173487</xdr:colOff>
      <xdr:row>46</xdr:row>
      <xdr:rowOff>171450</xdr:rowOff>
    </xdr:to>
    <xdr:pic>
      <xdr:nvPicPr>
        <xdr:cNvPr id="2" name="Picture 1">
          <a:extLst>
            <a:ext uri="{FF2B5EF4-FFF2-40B4-BE49-F238E27FC236}">
              <a16:creationId xmlns:a16="http://schemas.microsoft.com/office/drawing/2014/main" id="{D210D267-C21F-4F1F-AF26-C711E15219C4}"/>
            </a:ext>
          </a:extLst>
        </xdr:cNvPr>
        <xdr:cNvPicPr>
          <a:picLocks noChangeAspect="1"/>
        </xdr:cNvPicPr>
      </xdr:nvPicPr>
      <xdr:blipFill>
        <a:blip xmlns:r="http://schemas.openxmlformats.org/officeDocument/2006/relationships" r:embed="rId1"/>
        <a:stretch>
          <a:fillRect/>
        </a:stretch>
      </xdr:blipFill>
      <xdr:spPr>
        <a:xfrm>
          <a:off x="519934" y="11430"/>
          <a:ext cx="6534413" cy="8572500"/>
        </a:xfrm>
        <a:prstGeom prst="rect">
          <a:avLst/>
        </a:prstGeom>
        <a:ln w="12700" cap="flat" cmpd="sng" algn="ctr">
          <a:solidFill>
            <a:srgbClr val="000000"/>
          </a:solidFill>
          <a:prstDash val="solid"/>
          <a:round/>
          <a:headEnd type="none" w="med" len="med"/>
          <a:tailEnd type="none" w="med" len="med"/>
        </a:ln>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0</xdr:colOff>
          <xdr:row>1</xdr:row>
          <xdr:rowOff>7620</xdr:rowOff>
        </xdr:from>
        <xdr:to>
          <xdr:col>19</xdr:col>
          <xdr:colOff>0</xdr:colOff>
          <xdr:row>4</xdr:row>
          <xdr:rowOff>7620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1700-0000019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Paste From Clipboard</a:t>
              </a:r>
            </a:p>
          </xdr:txBody>
        </xdr:sp>
        <xdr:clientData fPrintsWithSheet="0"/>
      </xdr:twoCellAnchor>
    </mc:Choice>
    <mc:Fallback/>
  </mc:AlternateContent>
  <xdr:twoCellAnchor editAs="oneCell">
    <xdr:from>
      <xdr:col>0</xdr:col>
      <xdr:colOff>287442</xdr:colOff>
      <xdr:row>0</xdr:row>
      <xdr:rowOff>11430</xdr:rowOff>
    </xdr:from>
    <xdr:to>
      <xdr:col>10</xdr:col>
      <xdr:colOff>383119</xdr:colOff>
      <xdr:row>46</xdr:row>
      <xdr:rowOff>171450</xdr:rowOff>
    </xdr:to>
    <xdr:pic>
      <xdr:nvPicPr>
        <xdr:cNvPr id="3" name="Picture 2">
          <a:extLst>
            <a:ext uri="{FF2B5EF4-FFF2-40B4-BE49-F238E27FC236}">
              <a16:creationId xmlns:a16="http://schemas.microsoft.com/office/drawing/2014/main" id="{6559EE2D-1D45-3C75-F5B6-9B77A4EE272B}"/>
            </a:ext>
          </a:extLst>
        </xdr:cNvPr>
        <xdr:cNvPicPr>
          <a:picLocks noChangeAspect="1"/>
        </xdr:cNvPicPr>
      </xdr:nvPicPr>
      <xdr:blipFill>
        <a:blip xmlns:r="http://schemas.openxmlformats.org/officeDocument/2006/relationships" r:embed="rId1"/>
        <a:stretch>
          <a:fillRect/>
        </a:stretch>
      </xdr:blipFill>
      <xdr:spPr>
        <a:xfrm>
          <a:off x="287442" y="11430"/>
          <a:ext cx="6526957" cy="8572500"/>
        </a:xfrm>
        <a:prstGeom prst="rect">
          <a:avLst/>
        </a:prstGeom>
        <a:ln w="12700" cap="flat" cmpd="sng" algn="ctr">
          <a:solidFill>
            <a:srgbClr val="000000"/>
          </a:solidFill>
          <a:prstDash val="solid"/>
          <a:round/>
          <a:headEnd type="none" w="med" len="med"/>
          <a:tailEnd type="none" w="med" len="med"/>
        </a:ln>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312420</xdr:colOff>
          <xdr:row>3</xdr:row>
          <xdr:rowOff>0</xdr:rowOff>
        </xdr:from>
        <xdr:to>
          <xdr:col>15</xdr:col>
          <xdr:colOff>304800</xdr:colOff>
          <xdr:row>6</xdr:row>
          <xdr:rowOff>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1800-0000016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Paste From Clipboard</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365760</xdr:colOff>
          <xdr:row>3</xdr:row>
          <xdr:rowOff>0</xdr:rowOff>
        </xdr:from>
        <xdr:to>
          <xdr:col>18</xdr:col>
          <xdr:colOff>350520</xdr:colOff>
          <xdr:row>6</xdr:row>
          <xdr:rowOff>0</xdr:rowOff>
        </xdr:to>
        <xdr:sp macro="" textlink="">
          <xdr:nvSpPr>
            <xdr:cNvPr id="221185" name="Button 1" hidden="1">
              <a:extLst>
                <a:ext uri="{63B3BB69-23CF-44E3-9099-C40C66FF867C}">
                  <a14:compatExt spid="_x0000_s221185"/>
                </a:ext>
                <a:ext uri="{FF2B5EF4-FFF2-40B4-BE49-F238E27FC236}">
                  <a16:creationId xmlns:a16="http://schemas.microsoft.com/office/drawing/2014/main" id="{00000000-0008-0000-1900-0000016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Paste From Clipboard</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312420</xdr:colOff>
          <xdr:row>3</xdr:row>
          <xdr:rowOff>0</xdr:rowOff>
        </xdr:from>
        <xdr:to>
          <xdr:col>15</xdr:col>
          <xdr:colOff>304800</xdr:colOff>
          <xdr:row>6</xdr:row>
          <xdr:rowOff>0</xdr:rowOff>
        </xdr:to>
        <xdr:sp macro="" textlink="">
          <xdr:nvSpPr>
            <xdr:cNvPr id="223233" name="Button 1" hidden="1">
              <a:extLst>
                <a:ext uri="{63B3BB69-23CF-44E3-9099-C40C66FF867C}">
                  <a14:compatExt spid="_x0000_s223233"/>
                </a:ext>
                <a:ext uri="{FF2B5EF4-FFF2-40B4-BE49-F238E27FC236}">
                  <a16:creationId xmlns:a16="http://schemas.microsoft.com/office/drawing/2014/main" id="{00000000-0008-0000-1A00-0000016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Paste From Clipboard</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312420</xdr:colOff>
          <xdr:row>3</xdr:row>
          <xdr:rowOff>0</xdr:rowOff>
        </xdr:from>
        <xdr:to>
          <xdr:col>15</xdr:col>
          <xdr:colOff>304800</xdr:colOff>
          <xdr:row>6</xdr:row>
          <xdr:rowOff>0</xdr:rowOff>
        </xdr:to>
        <xdr:sp macro="" textlink="">
          <xdr:nvSpPr>
            <xdr:cNvPr id="224257" name="Button 1" hidden="1">
              <a:extLst>
                <a:ext uri="{63B3BB69-23CF-44E3-9099-C40C66FF867C}">
                  <a14:compatExt spid="_x0000_s224257"/>
                </a:ext>
                <a:ext uri="{FF2B5EF4-FFF2-40B4-BE49-F238E27FC236}">
                  <a16:creationId xmlns:a16="http://schemas.microsoft.com/office/drawing/2014/main" id="{00000000-0008-0000-1B00-0000016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Paste From Clipboard</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312420</xdr:colOff>
          <xdr:row>3</xdr:row>
          <xdr:rowOff>0</xdr:rowOff>
        </xdr:from>
        <xdr:to>
          <xdr:col>15</xdr:col>
          <xdr:colOff>304800</xdr:colOff>
          <xdr:row>6</xdr:row>
          <xdr:rowOff>0</xdr:rowOff>
        </xdr:to>
        <xdr:sp macro="" textlink="">
          <xdr:nvSpPr>
            <xdr:cNvPr id="280577" name="Button 1" hidden="1">
              <a:extLst>
                <a:ext uri="{63B3BB69-23CF-44E3-9099-C40C66FF867C}">
                  <a14:compatExt spid="_x0000_s280577"/>
                </a:ext>
                <a:ext uri="{FF2B5EF4-FFF2-40B4-BE49-F238E27FC236}">
                  <a16:creationId xmlns:a16="http://schemas.microsoft.com/office/drawing/2014/main" id="{00000000-0008-0000-1C00-0000014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Paste From Clipboard</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312420</xdr:colOff>
          <xdr:row>3</xdr:row>
          <xdr:rowOff>0</xdr:rowOff>
        </xdr:from>
        <xdr:to>
          <xdr:col>15</xdr:col>
          <xdr:colOff>304800</xdr:colOff>
          <xdr:row>6</xdr:row>
          <xdr:rowOff>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1D00-0000014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Paste From Clipboard</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0</xdr:colOff>
          <xdr:row>1</xdr:row>
          <xdr:rowOff>7620</xdr:rowOff>
        </xdr:from>
        <xdr:to>
          <xdr:col>19</xdr:col>
          <xdr:colOff>0</xdr:colOff>
          <xdr:row>4</xdr:row>
          <xdr:rowOff>7620</xdr:rowOff>
        </xdr:to>
        <xdr:sp macro="" textlink="">
          <xdr:nvSpPr>
            <xdr:cNvPr id="324609" name="Button 1" hidden="1">
              <a:extLst>
                <a:ext uri="{63B3BB69-23CF-44E3-9099-C40C66FF867C}">
                  <a14:compatExt spid="_x0000_s324609"/>
                </a:ext>
                <a:ext uri="{FF2B5EF4-FFF2-40B4-BE49-F238E27FC236}">
                  <a16:creationId xmlns:a16="http://schemas.microsoft.com/office/drawing/2014/main" id="{00000000-0008-0000-2100-000001F4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Paste From Clipboard</a:t>
              </a:r>
            </a:p>
          </xdr:txBody>
        </xdr:sp>
        <xdr:clientData fPrintsWithSheet="0"/>
      </xdr:twoCellAnchor>
    </mc:Choice>
    <mc:Fallback/>
  </mc:AlternateContent>
  <xdr:twoCellAnchor editAs="oneCell">
    <xdr:from>
      <xdr:col>0</xdr:col>
      <xdr:colOff>263087</xdr:colOff>
      <xdr:row>0</xdr:row>
      <xdr:rowOff>11430</xdr:rowOff>
    </xdr:from>
    <xdr:to>
      <xdr:col>10</xdr:col>
      <xdr:colOff>407472</xdr:colOff>
      <xdr:row>46</xdr:row>
      <xdr:rowOff>171450</xdr:rowOff>
    </xdr:to>
    <xdr:pic>
      <xdr:nvPicPr>
        <xdr:cNvPr id="3" name="Picture 2">
          <a:extLst>
            <a:ext uri="{FF2B5EF4-FFF2-40B4-BE49-F238E27FC236}">
              <a16:creationId xmlns:a16="http://schemas.microsoft.com/office/drawing/2014/main" id="{96BFA40A-F19B-0D99-9737-214545E84D66}"/>
            </a:ext>
          </a:extLst>
        </xdr:cNvPr>
        <xdr:cNvPicPr>
          <a:picLocks noChangeAspect="1"/>
        </xdr:cNvPicPr>
      </xdr:nvPicPr>
      <xdr:blipFill>
        <a:blip xmlns:r="http://schemas.openxmlformats.org/officeDocument/2006/relationships" r:embed="rId1"/>
        <a:stretch>
          <a:fillRect/>
        </a:stretch>
      </xdr:blipFill>
      <xdr:spPr>
        <a:xfrm>
          <a:off x="263087" y="11430"/>
          <a:ext cx="6575665" cy="8572500"/>
        </a:xfrm>
        <a:prstGeom prst="rect">
          <a:avLst/>
        </a:prstGeom>
        <a:ln w="12700" cap="flat" cmpd="sng" algn="ctr">
          <a:solidFill>
            <a:srgbClr val="000000"/>
          </a:solidFill>
          <a:prstDash val="solid"/>
          <a:round/>
          <a:headEnd type="none" w="med" len="med"/>
          <a:tailEnd type="none" w="med" len="med"/>
        </a:ln>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312420</xdr:colOff>
          <xdr:row>3</xdr:row>
          <xdr:rowOff>0</xdr:rowOff>
        </xdr:from>
        <xdr:to>
          <xdr:col>15</xdr:col>
          <xdr:colOff>304800</xdr:colOff>
          <xdr:row>6</xdr:row>
          <xdr:rowOff>0</xdr:rowOff>
        </xdr:to>
        <xdr:sp macro="" textlink="">
          <xdr:nvSpPr>
            <xdr:cNvPr id="321537" name="Button 1" hidden="1">
              <a:extLst>
                <a:ext uri="{63B3BB69-23CF-44E3-9099-C40C66FF867C}">
                  <a14:compatExt spid="_x0000_s321537"/>
                </a:ext>
                <a:ext uri="{FF2B5EF4-FFF2-40B4-BE49-F238E27FC236}">
                  <a16:creationId xmlns:a16="http://schemas.microsoft.com/office/drawing/2014/main" id="{00000000-0008-0000-1E00-000001E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Paste From Clipboard</a:t>
              </a:r>
            </a:p>
          </xdr:txBody>
        </xdr:sp>
        <xdr:clientData fPrintsWithSheet="0"/>
      </xdr:twoCellAnchor>
    </mc:Choice>
    <mc:Fallback/>
  </mc:AlternateContent>
  <xdr:twoCellAnchor editAs="oneCell">
    <xdr:from>
      <xdr:col>0</xdr:col>
      <xdr:colOff>287586</xdr:colOff>
      <xdr:row>0</xdr:row>
      <xdr:rowOff>11430</xdr:rowOff>
    </xdr:from>
    <xdr:to>
      <xdr:col>10</xdr:col>
      <xdr:colOff>405834</xdr:colOff>
      <xdr:row>46</xdr:row>
      <xdr:rowOff>171450</xdr:rowOff>
    </xdr:to>
    <xdr:pic>
      <xdr:nvPicPr>
        <xdr:cNvPr id="2" name="Picture 1">
          <a:extLst>
            <a:ext uri="{FF2B5EF4-FFF2-40B4-BE49-F238E27FC236}">
              <a16:creationId xmlns:a16="http://schemas.microsoft.com/office/drawing/2014/main" id="{FB55B24B-9BB0-356D-2E42-6B5EA61D5F0E}"/>
            </a:ext>
          </a:extLst>
        </xdr:cNvPr>
        <xdr:cNvPicPr>
          <a:picLocks noChangeAspect="1"/>
        </xdr:cNvPicPr>
      </xdr:nvPicPr>
      <xdr:blipFill>
        <a:blip xmlns:r="http://schemas.openxmlformats.org/officeDocument/2006/relationships" r:embed="rId1"/>
        <a:stretch>
          <a:fillRect/>
        </a:stretch>
      </xdr:blipFill>
      <xdr:spPr>
        <a:xfrm>
          <a:off x="287586" y="11430"/>
          <a:ext cx="6572388" cy="8572500"/>
        </a:xfrm>
        <a:prstGeom prst="rect">
          <a:avLst/>
        </a:prstGeom>
        <a:ln w="12700" cap="flat" cmpd="sng" algn="ctr">
          <a:solidFill>
            <a:srgbClr val="000000"/>
          </a:solidFill>
          <a:prstDash val="solid"/>
          <a:round/>
          <a:headEnd type="none" w="med" len="med"/>
          <a:tailEnd type="none" w="med" len="med"/>
        </a:ln>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312420</xdr:colOff>
          <xdr:row>3</xdr:row>
          <xdr:rowOff>0</xdr:rowOff>
        </xdr:from>
        <xdr:to>
          <xdr:col>15</xdr:col>
          <xdr:colOff>304800</xdr:colOff>
          <xdr:row>6</xdr:row>
          <xdr:rowOff>0</xdr:rowOff>
        </xdr:to>
        <xdr:sp macro="" textlink="">
          <xdr:nvSpPr>
            <xdr:cNvPr id="322561" name="Button 1" hidden="1">
              <a:extLst>
                <a:ext uri="{63B3BB69-23CF-44E3-9099-C40C66FF867C}">
                  <a14:compatExt spid="_x0000_s322561"/>
                </a:ext>
                <a:ext uri="{FF2B5EF4-FFF2-40B4-BE49-F238E27FC236}">
                  <a16:creationId xmlns:a16="http://schemas.microsoft.com/office/drawing/2014/main" id="{00000000-0008-0000-1F00-000001EC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Paste From Clipboard</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312420</xdr:colOff>
          <xdr:row>3</xdr:row>
          <xdr:rowOff>0</xdr:rowOff>
        </xdr:from>
        <xdr:to>
          <xdr:col>15</xdr:col>
          <xdr:colOff>304800</xdr:colOff>
          <xdr:row>6</xdr:row>
          <xdr:rowOff>0</xdr:rowOff>
        </xdr:to>
        <xdr:sp macro="" textlink="">
          <xdr:nvSpPr>
            <xdr:cNvPr id="323585" name="Button 1" hidden="1">
              <a:extLst>
                <a:ext uri="{63B3BB69-23CF-44E3-9099-C40C66FF867C}">
                  <a14:compatExt spid="_x0000_s323585"/>
                </a:ext>
                <a:ext uri="{FF2B5EF4-FFF2-40B4-BE49-F238E27FC236}">
                  <a16:creationId xmlns:a16="http://schemas.microsoft.com/office/drawing/2014/main" id="{00000000-0008-0000-2000-000001F0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Paste From Clipboard</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312420</xdr:colOff>
          <xdr:row>3</xdr:row>
          <xdr:rowOff>0</xdr:rowOff>
        </xdr:from>
        <xdr:to>
          <xdr:col>15</xdr:col>
          <xdr:colOff>304800</xdr:colOff>
          <xdr:row>6</xdr:row>
          <xdr:rowOff>0</xdr:rowOff>
        </xdr:to>
        <xdr:sp macro="" textlink="">
          <xdr:nvSpPr>
            <xdr:cNvPr id="325633" name="Button 1" hidden="1">
              <a:extLst>
                <a:ext uri="{63B3BB69-23CF-44E3-9099-C40C66FF867C}">
                  <a14:compatExt spid="_x0000_s325633"/>
                </a:ext>
                <a:ext uri="{FF2B5EF4-FFF2-40B4-BE49-F238E27FC236}">
                  <a16:creationId xmlns:a16="http://schemas.microsoft.com/office/drawing/2014/main" id="{00000000-0008-0000-2200-000001F804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Paste From Clipboard</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312420</xdr:colOff>
          <xdr:row>3</xdr:row>
          <xdr:rowOff>0</xdr:rowOff>
        </xdr:from>
        <xdr:to>
          <xdr:col>15</xdr:col>
          <xdr:colOff>304800</xdr:colOff>
          <xdr:row>6</xdr:row>
          <xdr:rowOff>0</xdr:rowOff>
        </xdr:to>
        <xdr:sp macro="" textlink="">
          <xdr:nvSpPr>
            <xdr:cNvPr id="241665" name="Button 1" hidden="1">
              <a:extLst>
                <a:ext uri="{63B3BB69-23CF-44E3-9099-C40C66FF867C}">
                  <a14:compatExt spid="_x0000_s241665"/>
                </a:ext>
                <a:ext uri="{FF2B5EF4-FFF2-40B4-BE49-F238E27FC236}">
                  <a16:creationId xmlns:a16="http://schemas.microsoft.com/office/drawing/2014/main" id="{00000000-0008-0000-2500-000001B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Paste From Clipboard</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312420</xdr:colOff>
          <xdr:row>3</xdr:row>
          <xdr:rowOff>0</xdr:rowOff>
        </xdr:from>
        <xdr:to>
          <xdr:col>15</xdr:col>
          <xdr:colOff>304800</xdr:colOff>
          <xdr:row>6</xdr:row>
          <xdr:rowOff>0</xdr:rowOff>
        </xdr:to>
        <xdr:sp macro="" textlink="">
          <xdr:nvSpPr>
            <xdr:cNvPr id="240641" name="Button 1" hidden="1">
              <a:extLst>
                <a:ext uri="{63B3BB69-23CF-44E3-9099-C40C66FF867C}">
                  <a14:compatExt spid="_x0000_s240641"/>
                </a:ext>
                <a:ext uri="{FF2B5EF4-FFF2-40B4-BE49-F238E27FC236}">
                  <a16:creationId xmlns:a16="http://schemas.microsoft.com/office/drawing/2014/main" id="{00000000-0008-0000-2600-000001A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Paste From Clipboard</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312420</xdr:colOff>
          <xdr:row>3</xdr:row>
          <xdr:rowOff>0</xdr:rowOff>
        </xdr:from>
        <xdr:to>
          <xdr:col>15</xdr:col>
          <xdr:colOff>304800</xdr:colOff>
          <xdr:row>6</xdr:row>
          <xdr:rowOff>0</xdr:rowOff>
        </xdr:to>
        <xdr:sp macro="" textlink="">
          <xdr:nvSpPr>
            <xdr:cNvPr id="239617" name="Button 1" hidden="1">
              <a:extLst>
                <a:ext uri="{63B3BB69-23CF-44E3-9099-C40C66FF867C}">
                  <a14:compatExt spid="_x0000_s239617"/>
                </a:ext>
                <a:ext uri="{FF2B5EF4-FFF2-40B4-BE49-F238E27FC236}">
                  <a16:creationId xmlns:a16="http://schemas.microsoft.com/office/drawing/2014/main" id="{00000000-0008-0000-2700-000001A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Paste From Clipboard</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312420</xdr:colOff>
          <xdr:row>3</xdr:row>
          <xdr:rowOff>0</xdr:rowOff>
        </xdr:from>
        <xdr:to>
          <xdr:col>15</xdr:col>
          <xdr:colOff>304800</xdr:colOff>
          <xdr:row>6</xdr:row>
          <xdr:rowOff>0</xdr:rowOff>
        </xdr:to>
        <xdr:sp macro="" textlink="">
          <xdr:nvSpPr>
            <xdr:cNvPr id="238593" name="Button 1" hidden="1">
              <a:extLst>
                <a:ext uri="{63B3BB69-23CF-44E3-9099-C40C66FF867C}">
                  <a14:compatExt spid="_x0000_s238593"/>
                </a:ext>
                <a:ext uri="{FF2B5EF4-FFF2-40B4-BE49-F238E27FC236}">
                  <a16:creationId xmlns:a16="http://schemas.microsoft.com/office/drawing/2014/main" id="{00000000-0008-0000-2800-000001A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Paste From Clipboard</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312420</xdr:colOff>
          <xdr:row>3</xdr:row>
          <xdr:rowOff>0</xdr:rowOff>
        </xdr:from>
        <xdr:to>
          <xdr:col>15</xdr:col>
          <xdr:colOff>304800</xdr:colOff>
          <xdr:row>6</xdr:row>
          <xdr:rowOff>0</xdr:rowOff>
        </xdr:to>
        <xdr:sp macro="" textlink="">
          <xdr:nvSpPr>
            <xdr:cNvPr id="237569" name="Button 1" hidden="1">
              <a:extLst>
                <a:ext uri="{63B3BB69-23CF-44E3-9099-C40C66FF867C}">
                  <a14:compatExt spid="_x0000_s237569"/>
                </a:ext>
                <a:ext uri="{FF2B5EF4-FFF2-40B4-BE49-F238E27FC236}">
                  <a16:creationId xmlns:a16="http://schemas.microsoft.com/office/drawing/2014/main" id="{00000000-0008-0000-2900-000001A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Paste From Clipboard</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0</xdr:colOff>
          <xdr:row>1</xdr:row>
          <xdr:rowOff>7620</xdr:rowOff>
        </xdr:from>
        <xdr:to>
          <xdr:col>19</xdr:col>
          <xdr:colOff>0</xdr:colOff>
          <xdr:row>4</xdr:row>
          <xdr:rowOff>7620</xdr:rowOff>
        </xdr:to>
        <xdr:sp macro="" textlink="">
          <xdr:nvSpPr>
            <xdr:cNvPr id="236545" name="Button 1" hidden="1">
              <a:extLst>
                <a:ext uri="{63B3BB69-23CF-44E3-9099-C40C66FF867C}">
                  <a14:compatExt spid="_x0000_s236545"/>
                </a:ext>
                <a:ext uri="{FF2B5EF4-FFF2-40B4-BE49-F238E27FC236}">
                  <a16:creationId xmlns:a16="http://schemas.microsoft.com/office/drawing/2014/main" id="{00000000-0008-0000-2A00-0000019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Paste From Clipboard</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312420</xdr:colOff>
          <xdr:row>3</xdr:row>
          <xdr:rowOff>0</xdr:rowOff>
        </xdr:from>
        <xdr:to>
          <xdr:col>15</xdr:col>
          <xdr:colOff>304800</xdr:colOff>
          <xdr:row>6</xdr:row>
          <xdr:rowOff>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2B00-0000019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Paste From Clipboard</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34</xdr:col>
      <xdr:colOff>0</xdr:colOff>
      <xdr:row>1</xdr:row>
      <xdr:rowOff>0</xdr:rowOff>
    </xdr:from>
    <xdr:to>
      <xdr:col>48</xdr:col>
      <xdr:colOff>192966</xdr:colOff>
      <xdr:row>54</xdr:row>
      <xdr:rowOff>13051</xdr:rowOff>
    </xdr:to>
    <xdr:pic>
      <xdr:nvPicPr>
        <xdr:cNvPr id="2" name="Picture 1">
          <a:extLst>
            <a:ext uri="{FF2B5EF4-FFF2-40B4-BE49-F238E27FC236}">
              <a16:creationId xmlns:a16="http://schemas.microsoft.com/office/drawing/2014/main" id="{FAF44569-FB6D-49A1-B6F8-D1B6AFFE5B30}"/>
            </a:ext>
          </a:extLst>
        </xdr:cNvPr>
        <xdr:cNvPicPr>
          <a:picLocks noChangeAspect="1"/>
        </xdr:cNvPicPr>
      </xdr:nvPicPr>
      <xdr:blipFill>
        <a:blip xmlns:r="http://schemas.openxmlformats.org/officeDocument/2006/relationships" r:embed="rId1"/>
        <a:stretch>
          <a:fillRect/>
        </a:stretch>
      </xdr:blipFill>
      <xdr:spPr>
        <a:xfrm>
          <a:off x="8772525" y="57150"/>
          <a:ext cx="8727366" cy="7413976"/>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388620</xdr:colOff>
          <xdr:row>8</xdr:row>
          <xdr:rowOff>182880</xdr:rowOff>
        </xdr:from>
        <xdr:to>
          <xdr:col>18</xdr:col>
          <xdr:colOff>518160</xdr:colOff>
          <xdr:row>12</xdr:row>
          <xdr:rowOff>83820</xdr:rowOff>
        </xdr:to>
        <xdr:sp macro="" textlink="">
          <xdr:nvSpPr>
            <xdr:cNvPr id="233473" name="Button 1" hidden="1">
              <a:extLst>
                <a:ext uri="{63B3BB69-23CF-44E3-9099-C40C66FF867C}">
                  <a14:compatExt spid="_x0000_s233473"/>
                </a:ext>
                <a:ext uri="{FF2B5EF4-FFF2-40B4-BE49-F238E27FC236}">
                  <a16:creationId xmlns:a16="http://schemas.microsoft.com/office/drawing/2014/main" id="{00000000-0008-0000-2F00-0000019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Create Map</a:t>
              </a:r>
            </a:p>
            <a:p>
              <a:pPr algn="ctr" rtl="0">
                <a:defRPr sz="1000"/>
              </a:pPr>
              <a:r>
                <a:rPr lang="en-US" sz="1100" b="0" i="0" u="none" strike="noStrike" baseline="0">
                  <a:solidFill>
                    <a:srgbClr val="000000"/>
                  </a:solidFill>
                  <a:latin typeface="Calibri"/>
                  <a:ea typeface="Calibri"/>
                  <a:cs typeface="Calibri"/>
                </a:rPr>
                <a:t>(Click once and wait ~10s. Click</a:t>
              </a:r>
            </a:p>
            <a:p>
              <a:pPr algn="ctr" rtl="0">
                <a:defRPr sz="1000"/>
              </a:pPr>
              <a:r>
                <a:rPr lang="en-US" sz="1100" b="0" i="0" u="none" strike="noStrike" baseline="0">
                  <a:solidFill>
                    <a:srgbClr val="000000"/>
                  </a:solidFill>
                  <a:latin typeface="Calibri"/>
                  <a:ea typeface="Calibri"/>
                  <a:cs typeface="Calibri"/>
                </a:rPr>
                <a:t> 'Yes' on pop up.)</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403860</xdr:colOff>
          <xdr:row>13</xdr:row>
          <xdr:rowOff>99060</xdr:rowOff>
        </xdr:from>
        <xdr:to>
          <xdr:col>18</xdr:col>
          <xdr:colOff>518160</xdr:colOff>
          <xdr:row>16</xdr:row>
          <xdr:rowOff>182880</xdr:rowOff>
        </xdr:to>
        <xdr:sp macro="" textlink="">
          <xdr:nvSpPr>
            <xdr:cNvPr id="233474" name="Button 2" hidden="1">
              <a:extLst>
                <a:ext uri="{63B3BB69-23CF-44E3-9099-C40C66FF867C}">
                  <a14:compatExt spid="_x0000_s233474"/>
                </a:ext>
                <a:ext uri="{FF2B5EF4-FFF2-40B4-BE49-F238E27FC236}">
                  <a16:creationId xmlns:a16="http://schemas.microsoft.com/office/drawing/2014/main" id="{00000000-0008-0000-2F00-0000029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Paste Image From Clipboard</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609600</xdr:colOff>
          <xdr:row>7</xdr:row>
          <xdr:rowOff>175260</xdr:rowOff>
        </xdr:from>
        <xdr:to>
          <xdr:col>10</xdr:col>
          <xdr:colOff>274320</xdr:colOff>
          <xdr:row>10</xdr:row>
          <xdr:rowOff>175260</xdr:rowOff>
        </xdr:to>
        <xdr:sp macro="" textlink="">
          <xdr:nvSpPr>
            <xdr:cNvPr id="232449" name="Button 1" hidden="1">
              <a:extLst>
                <a:ext uri="{63B3BB69-23CF-44E3-9099-C40C66FF867C}">
                  <a14:compatExt spid="_x0000_s232449"/>
                </a:ext>
                <a:ext uri="{FF2B5EF4-FFF2-40B4-BE49-F238E27FC236}">
                  <a16:creationId xmlns:a16="http://schemas.microsoft.com/office/drawing/2014/main" id="{00000000-0008-0000-3000-0000018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Parcel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342900</xdr:colOff>
          <xdr:row>8</xdr:row>
          <xdr:rowOff>0</xdr:rowOff>
        </xdr:from>
        <xdr:to>
          <xdr:col>13</xdr:col>
          <xdr:colOff>30480</xdr:colOff>
          <xdr:row>10</xdr:row>
          <xdr:rowOff>182880</xdr:rowOff>
        </xdr:to>
        <xdr:sp macro="" textlink="">
          <xdr:nvSpPr>
            <xdr:cNvPr id="232450" name="Button 2" hidden="1">
              <a:extLst>
                <a:ext uri="{63B3BB69-23CF-44E3-9099-C40C66FF867C}">
                  <a14:compatExt spid="_x0000_s232450"/>
                </a:ext>
                <a:ext uri="{FF2B5EF4-FFF2-40B4-BE49-F238E27FC236}">
                  <a16:creationId xmlns:a16="http://schemas.microsoft.com/office/drawing/2014/main" id="{00000000-0008-0000-3000-0000028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Paste Image From Clipboard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601980</xdr:colOff>
          <xdr:row>11</xdr:row>
          <xdr:rowOff>7620</xdr:rowOff>
        </xdr:from>
        <xdr:to>
          <xdr:col>10</xdr:col>
          <xdr:colOff>274320</xdr:colOff>
          <xdr:row>14</xdr:row>
          <xdr:rowOff>7620</xdr:rowOff>
        </xdr:to>
        <xdr:sp macro="" textlink="">
          <xdr:nvSpPr>
            <xdr:cNvPr id="232451" name="Button 3" hidden="1">
              <a:extLst>
                <a:ext uri="{63B3BB69-23CF-44E3-9099-C40C66FF867C}">
                  <a14:compatExt spid="_x0000_s232451"/>
                </a:ext>
                <a:ext uri="{FF2B5EF4-FFF2-40B4-BE49-F238E27FC236}">
                  <a16:creationId xmlns:a16="http://schemas.microsoft.com/office/drawing/2014/main" id="{00000000-0008-0000-3000-0000038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Google Map 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609600</xdr:colOff>
          <xdr:row>4</xdr:row>
          <xdr:rowOff>175260</xdr:rowOff>
        </xdr:from>
        <xdr:to>
          <xdr:col>10</xdr:col>
          <xdr:colOff>274320</xdr:colOff>
          <xdr:row>7</xdr:row>
          <xdr:rowOff>175260</xdr:rowOff>
        </xdr:to>
        <xdr:sp macro="" textlink="">
          <xdr:nvSpPr>
            <xdr:cNvPr id="232452" name="Button 4" hidden="1">
              <a:extLst>
                <a:ext uri="{63B3BB69-23CF-44E3-9099-C40C66FF867C}">
                  <a14:compatExt spid="_x0000_s232452"/>
                </a:ext>
                <a:ext uri="{FF2B5EF4-FFF2-40B4-BE49-F238E27FC236}">
                  <a16:creationId xmlns:a16="http://schemas.microsoft.com/office/drawing/2014/main" id="{00000000-0008-0000-3000-0000048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Open Google Image 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609600</xdr:colOff>
          <xdr:row>57</xdr:row>
          <xdr:rowOff>175260</xdr:rowOff>
        </xdr:from>
        <xdr:to>
          <xdr:col>10</xdr:col>
          <xdr:colOff>274320</xdr:colOff>
          <xdr:row>60</xdr:row>
          <xdr:rowOff>175260</xdr:rowOff>
        </xdr:to>
        <xdr:sp macro="" textlink="">
          <xdr:nvSpPr>
            <xdr:cNvPr id="232453" name="Button 5" hidden="1">
              <a:extLst>
                <a:ext uri="{63B3BB69-23CF-44E3-9099-C40C66FF867C}">
                  <a14:compatExt spid="_x0000_s232453"/>
                </a:ext>
                <a:ext uri="{FF2B5EF4-FFF2-40B4-BE49-F238E27FC236}">
                  <a16:creationId xmlns:a16="http://schemas.microsoft.com/office/drawing/2014/main" id="{00000000-0008-0000-3000-0000058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Parcel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342900</xdr:colOff>
          <xdr:row>58</xdr:row>
          <xdr:rowOff>0</xdr:rowOff>
        </xdr:from>
        <xdr:to>
          <xdr:col>13</xdr:col>
          <xdr:colOff>30480</xdr:colOff>
          <xdr:row>60</xdr:row>
          <xdr:rowOff>182880</xdr:rowOff>
        </xdr:to>
        <xdr:sp macro="" textlink="">
          <xdr:nvSpPr>
            <xdr:cNvPr id="232454" name="Button 6" hidden="1">
              <a:extLst>
                <a:ext uri="{63B3BB69-23CF-44E3-9099-C40C66FF867C}">
                  <a14:compatExt spid="_x0000_s232454"/>
                </a:ext>
                <a:ext uri="{FF2B5EF4-FFF2-40B4-BE49-F238E27FC236}">
                  <a16:creationId xmlns:a16="http://schemas.microsoft.com/office/drawing/2014/main" id="{00000000-0008-0000-3000-0000068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Paste Image From Clipboard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601980</xdr:colOff>
          <xdr:row>61</xdr:row>
          <xdr:rowOff>7620</xdr:rowOff>
        </xdr:from>
        <xdr:to>
          <xdr:col>10</xdr:col>
          <xdr:colOff>274320</xdr:colOff>
          <xdr:row>64</xdr:row>
          <xdr:rowOff>7620</xdr:rowOff>
        </xdr:to>
        <xdr:sp macro="" textlink="">
          <xdr:nvSpPr>
            <xdr:cNvPr id="232455" name="Button 7" hidden="1">
              <a:extLst>
                <a:ext uri="{63B3BB69-23CF-44E3-9099-C40C66FF867C}">
                  <a14:compatExt spid="_x0000_s232455"/>
                </a:ext>
                <a:ext uri="{FF2B5EF4-FFF2-40B4-BE49-F238E27FC236}">
                  <a16:creationId xmlns:a16="http://schemas.microsoft.com/office/drawing/2014/main" id="{00000000-0008-0000-3000-0000078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Google Map 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609600</xdr:colOff>
          <xdr:row>54</xdr:row>
          <xdr:rowOff>175260</xdr:rowOff>
        </xdr:from>
        <xdr:to>
          <xdr:col>10</xdr:col>
          <xdr:colOff>274320</xdr:colOff>
          <xdr:row>57</xdr:row>
          <xdr:rowOff>175260</xdr:rowOff>
        </xdr:to>
        <xdr:sp macro="" textlink="">
          <xdr:nvSpPr>
            <xdr:cNvPr id="232456" name="Button 8" hidden="1">
              <a:extLst>
                <a:ext uri="{63B3BB69-23CF-44E3-9099-C40C66FF867C}">
                  <a14:compatExt spid="_x0000_s232456"/>
                </a:ext>
                <a:ext uri="{FF2B5EF4-FFF2-40B4-BE49-F238E27FC236}">
                  <a16:creationId xmlns:a16="http://schemas.microsoft.com/office/drawing/2014/main" id="{00000000-0008-0000-3000-0000088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Open Google Image 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609600</xdr:colOff>
          <xdr:row>107</xdr:row>
          <xdr:rowOff>175260</xdr:rowOff>
        </xdr:from>
        <xdr:to>
          <xdr:col>10</xdr:col>
          <xdr:colOff>274320</xdr:colOff>
          <xdr:row>110</xdr:row>
          <xdr:rowOff>175260</xdr:rowOff>
        </xdr:to>
        <xdr:sp macro="" textlink="">
          <xdr:nvSpPr>
            <xdr:cNvPr id="232457" name="Button 9" hidden="1">
              <a:extLst>
                <a:ext uri="{63B3BB69-23CF-44E3-9099-C40C66FF867C}">
                  <a14:compatExt spid="_x0000_s232457"/>
                </a:ext>
                <a:ext uri="{FF2B5EF4-FFF2-40B4-BE49-F238E27FC236}">
                  <a16:creationId xmlns:a16="http://schemas.microsoft.com/office/drawing/2014/main" id="{00000000-0008-0000-3000-0000098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Parcel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342900</xdr:colOff>
          <xdr:row>108</xdr:row>
          <xdr:rowOff>0</xdr:rowOff>
        </xdr:from>
        <xdr:to>
          <xdr:col>13</xdr:col>
          <xdr:colOff>30480</xdr:colOff>
          <xdr:row>110</xdr:row>
          <xdr:rowOff>182880</xdr:rowOff>
        </xdr:to>
        <xdr:sp macro="" textlink="">
          <xdr:nvSpPr>
            <xdr:cNvPr id="232458" name="Button 10" hidden="1">
              <a:extLst>
                <a:ext uri="{63B3BB69-23CF-44E3-9099-C40C66FF867C}">
                  <a14:compatExt spid="_x0000_s232458"/>
                </a:ext>
                <a:ext uri="{FF2B5EF4-FFF2-40B4-BE49-F238E27FC236}">
                  <a16:creationId xmlns:a16="http://schemas.microsoft.com/office/drawing/2014/main" id="{00000000-0008-0000-3000-00000A8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Paste Image From Clipboard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601980</xdr:colOff>
          <xdr:row>111</xdr:row>
          <xdr:rowOff>7620</xdr:rowOff>
        </xdr:from>
        <xdr:to>
          <xdr:col>10</xdr:col>
          <xdr:colOff>274320</xdr:colOff>
          <xdr:row>114</xdr:row>
          <xdr:rowOff>7620</xdr:rowOff>
        </xdr:to>
        <xdr:sp macro="" textlink="">
          <xdr:nvSpPr>
            <xdr:cNvPr id="232459" name="Button 11" hidden="1">
              <a:extLst>
                <a:ext uri="{63B3BB69-23CF-44E3-9099-C40C66FF867C}">
                  <a14:compatExt spid="_x0000_s232459"/>
                </a:ext>
                <a:ext uri="{FF2B5EF4-FFF2-40B4-BE49-F238E27FC236}">
                  <a16:creationId xmlns:a16="http://schemas.microsoft.com/office/drawing/2014/main" id="{00000000-0008-0000-3000-00000B8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Google Map 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609600</xdr:colOff>
          <xdr:row>104</xdr:row>
          <xdr:rowOff>175260</xdr:rowOff>
        </xdr:from>
        <xdr:to>
          <xdr:col>10</xdr:col>
          <xdr:colOff>274320</xdr:colOff>
          <xdr:row>107</xdr:row>
          <xdr:rowOff>175260</xdr:rowOff>
        </xdr:to>
        <xdr:sp macro="" textlink="">
          <xdr:nvSpPr>
            <xdr:cNvPr id="232460" name="Button 12" hidden="1">
              <a:extLst>
                <a:ext uri="{63B3BB69-23CF-44E3-9099-C40C66FF867C}">
                  <a14:compatExt spid="_x0000_s232460"/>
                </a:ext>
                <a:ext uri="{FF2B5EF4-FFF2-40B4-BE49-F238E27FC236}">
                  <a16:creationId xmlns:a16="http://schemas.microsoft.com/office/drawing/2014/main" id="{00000000-0008-0000-3000-00000C8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Open Google Image 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609600</xdr:colOff>
          <xdr:row>157</xdr:row>
          <xdr:rowOff>175260</xdr:rowOff>
        </xdr:from>
        <xdr:to>
          <xdr:col>10</xdr:col>
          <xdr:colOff>274320</xdr:colOff>
          <xdr:row>160</xdr:row>
          <xdr:rowOff>175260</xdr:rowOff>
        </xdr:to>
        <xdr:sp macro="" textlink="">
          <xdr:nvSpPr>
            <xdr:cNvPr id="232461" name="Button 13" hidden="1">
              <a:extLst>
                <a:ext uri="{63B3BB69-23CF-44E3-9099-C40C66FF867C}">
                  <a14:compatExt spid="_x0000_s232461"/>
                </a:ext>
                <a:ext uri="{FF2B5EF4-FFF2-40B4-BE49-F238E27FC236}">
                  <a16:creationId xmlns:a16="http://schemas.microsoft.com/office/drawing/2014/main" id="{00000000-0008-0000-3000-00000D8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Parcel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342900</xdr:colOff>
          <xdr:row>158</xdr:row>
          <xdr:rowOff>0</xdr:rowOff>
        </xdr:from>
        <xdr:to>
          <xdr:col>13</xdr:col>
          <xdr:colOff>30480</xdr:colOff>
          <xdr:row>160</xdr:row>
          <xdr:rowOff>182880</xdr:rowOff>
        </xdr:to>
        <xdr:sp macro="" textlink="">
          <xdr:nvSpPr>
            <xdr:cNvPr id="232462" name="Button 14" hidden="1">
              <a:extLst>
                <a:ext uri="{63B3BB69-23CF-44E3-9099-C40C66FF867C}">
                  <a14:compatExt spid="_x0000_s232462"/>
                </a:ext>
                <a:ext uri="{FF2B5EF4-FFF2-40B4-BE49-F238E27FC236}">
                  <a16:creationId xmlns:a16="http://schemas.microsoft.com/office/drawing/2014/main" id="{00000000-0008-0000-3000-00000E8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Paste Image From Clipboard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601980</xdr:colOff>
          <xdr:row>161</xdr:row>
          <xdr:rowOff>7620</xdr:rowOff>
        </xdr:from>
        <xdr:to>
          <xdr:col>10</xdr:col>
          <xdr:colOff>274320</xdr:colOff>
          <xdr:row>164</xdr:row>
          <xdr:rowOff>7620</xdr:rowOff>
        </xdr:to>
        <xdr:sp macro="" textlink="">
          <xdr:nvSpPr>
            <xdr:cNvPr id="232463" name="Button 15" hidden="1">
              <a:extLst>
                <a:ext uri="{63B3BB69-23CF-44E3-9099-C40C66FF867C}">
                  <a14:compatExt spid="_x0000_s232463"/>
                </a:ext>
                <a:ext uri="{FF2B5EF4-FFF2-40B4-BE49-F238E27FC236}">
                  <a16:creationId xmlns:a16="http://schemas.microsoft.com/office/drawing/2014/main" id="{00000000-0008-0000-3000-00000F8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Google Map 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609600</xdr:colOff>
          <xdr:row>154</xdr:row>
          <xdr:rowOff>175260</xdr:rowOff>
        </xdr:from>
        <xdr:to>
          <xdr:col>10</xdr:col>
          <xdr:colOff>274320</xdr:colOff>
          <xdr:row>157</xdr:row>
          <xdr:rowOff>175260</xdr:rowOff>
        </xdr:to>
        <xdr:sp macro="" textlink="">
          <xdr:nvSpPr>
            <xdr:cNvPr id="232464" name="Button 16" hidden="1">
              <a:extLst>
                <a:ext uri="{63B3BB69-23CF-44E3-9099-C40C66FF867C}">
                  <a14:compatExt spid="_x0000_s232464"/>
                </a:ext>
                <a:ext uri="{FF2B5EF4-FFF2-40B4-BE49-F238E27FC236}">
                  <a16:creationId xmlns:a16="http://schemas.microsoft.com/office/drawing/2014/main" id="{00000000-0008-0000-3000-0000108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Open Google Image Search</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0</xdr:colOff>
          <xdr:row>26</xdr:row>
          <xdr:rowOff>114300</xdr:rowOff>
        </xdr:from>
        <xdr:to>
          <xdr:col>12</xdr:col>
          <xdr:colOff>160020</xdr:colOff>
          <xdr:row>28</xdr:row>
          <xdr:rowOff>22860</xdr:rowOff>
        </xdr:to>
        <xdr:sp macro="" textlink="">
          <xdr:nvSpPr>
            <xdr:cNvPr id="231425" name="Button 1" hidden="1">
              <a:extLst>
                <a:ext uri="{63B3BB69-23CF-44E3-9099-C40C66FF867C}">
                  <a14:compatExt spid="_x0000_s231425"/>
                </a:ext>
                <a:ext uri="{FF2B5EF4-FFF2-40B4-BE49-F238E27FC236}">
                  <a16:creationId xmlns:a16="http://schemas.microsoft.com/office/drawing/2014/main" id="{00000000-0008-0000-3200-0000018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Clear Adjustments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26</xdr:row>
          <xdr:rowOff>7620</xdr:rowOff>
        </xdr:from>
        <xdr:to>
          <xdr:col>9</xdr:col>
          <xdr:colOff>373380</xdr:colOff>
          <xdr:row>27</xdr:row>
          <xdr:rowOff>0</xdr:rowOff>
        </xdr:to>
        <xdr:sp macro="" textlink="">
          <xdr:nvSpPr>
            <xdr:cNvPr id="231426" name="Button 2" hidden="1">
              <a:extLst>
                <a:ext uri="{63B3BB69-23CF-44E3-9099-C40C66FF867C}">
                  <a14:compatExt spid="_x0000_s231426"/>
                </a:ext>
                <a:ext uri="{FF2B5EF4-FFF2-40B4-BE49-F238E27FC236}">
                  <a16:creationId xmlns:a16="http://schemas.microsoft.com/office/drawing/2014/main" id="{00000000-0008-0000-3200-0000028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Location Adj.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22860</xdr:colOff>
          <xdr:row>25</xdr:row>
          <xdr:rowOff>0</xdr:rowOff>
        </xdr:from>
        <xdr:to>
          <xdr:col>9</xdr:col>
          <xdr:colOff>365760</xdr:colOff>
          <xdr:row>26</xdr:row>
          <xdr:rowOff>0</xdr:rowOff>
        </xdr:to>
        <xdr:sp macro="" textlink="">
          <xdr:nvSpPr>
            <xdr:cNvPr id="231427" name="Button 3" hidden="1">
              <a:extLst>
                <a:ext uri="{63B3BB69-23CF-44E3-9099-C40C66FF867C}">
                  <a14:compatExt spid="_x0000_s231427"/>
                </a:ext>
                <a:ext uri="{FF2B5EF4-FFF2-40B4-BE49-F238E27FC236}">
                  <a16:creationId xmlns:a16="http://schemas.microsoft.com/office/drawing/2014/main" id="{00000000-0008-0000-3200-0000038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Lot Size Adj.</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25</xdr:row>
          <xdr:rowOff>190500</xdr:rowOff>
        </xdr:from>
        <xdr:to>
          <xdr:col>11</xdr:col>
          <xdr:colOff>457200</xdr:colOff>
          <xdr:row>27</xdr:row>
          <xdr:rowOff>60960</xdr:rowOff>
        </xdr:to>
        <xdr:sp macro="" textlink="">
          <xdr:nvSpPr>
            <xdr:cNvPr id="230401" name="Button 1" hidden="1">
              <a:extLst>
                <a:ext uri="{63B3BB69-23CF-44E3-9099-C40C66FF867C}">
                  <a14:compatExt spid="_x0000_s230401"/>
                </a:ext>
                <a:ext uri="{FF2B5EF4-FFF2-40B4-BE49-F238E27FC236}">
                  <a16:creationId xmlns:a16="http://schemas.microsoft.com/office/drawing/2014/main" id="{00000000-0008-0000-3300-0000018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Clear Adjustments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29</xdr:row>
          <xdr:rowOff>0</xdr:rowOff>
        </xdr:from>
        <xdr:to>
          <xdr:col>8</xdr:col>
          <xdr:colOff>868680</xdr:colOff>
          <xdr:row>30</xdr:row>
          <xdr:rowOff>0</xdr:rowOff>
        </xdr:to>
        <xdr:sp macro="" textlink="">
          <xdr:nvSpPr>
            <xdr:cNvPr id="230402" name="Button 2" hidden="1">
              <a:extLst>
                <a:ext uri="{63B3BB69-23CF-44E3-9099-C40C66FF867C}">
                  <a14:compatExt spid="_x0000_s230402"/>
                </a:ext>
                <a:ext uri="{FF2B5EF4-FFF2-40B4-BE49-F238E27FC236}">
                  <a16:creationId xmlns:a16="http://schemas.microsoft.com/office/drawing/2014/main" id="{00000000-0008-0000-3300-0000028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Age Adj.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34</xdr:row>
          <xdr:rowOff>0</xdr:rowOff>
        </xdr:from>
        <xdr:to>
          <xdr:col>8</xdr:col>
          <xdr:colOff>861060</xdr:colOff>
          <xdr:row>34</xdr:row>
          <xdr:rowOff>190500</xdr:rowOff>
        </xdr:to>
        <xdr:sp macro="" textlink="">
          <xdr:nvSpPr>
            <xdr:cNvPr id="230403" name="Button 3" hidden="1">
              <a:extLst>
                <a:ext uri="{63B3BB69-23CF-44E3-9099-C40C66FF867C}">
                  <a14:compatExt spid="_x0000_s230403"/>
                </a:ext>
                <a:ext uri="{FF2B5EF4-FFF2-40B4-BE49-F238E27FC236}">
                  <a16:creationId xmlns:a16="http://schemas.microsoft.com/office/drawing/2014/main" id="{00000000-0008-0000-3300-0000038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Land:Bldg Adj.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22860</xdr:colOff>
          <xdr:row>26</xdr:row>
          <xdr:rowOff>0</xdr:rowOff>
        </xdr:from>
        <xdr:to>
          <xdr:col>8</xdr:col>
          <xdr:colOff>868680</xdr:colOff>
          <xdr:row>27</xdr:row>
          <xdr:rowOff>0</xdr:rowOff>
        </xdr:to>
        <xdr:sp macro="" textlink="">
          <xdr:nvSpPr>
            <xdr:cNvPr id="230404" name="Button 4" hidden="1">
              <a:extLst>
                <a:ext uri="{63B3BB69-23CF-44E3-9099-C40C66FF867C}">
                  <a14:compatExt spid="_x0000_s230404"/>
                </a:ext>
                <a:ext uri="{FF2B5EF4-FFF2-40B4-BE49-F238E27FC236}">
                  <a16:creationId xmlns:a16="http://schemas.microsoft.com/office/drawing/2014/main" id="{00000000-0008-0000-3300-0000048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Bldg. Size Adj.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27</xdr:row>
          <xdr:rowOff>7620</xdr:rowOff>
        </xdr:from>
        <xdr:to>
          <xdr:col>8</xdr:col>
          <xdr:colOff>868680</xdr:colOff>
          <xdr:row>27</xdr:row>
          <xdr:rowOff>190500</xdr:rowOff>
        </xdr:to>
        <xdr:sp macro="" textlink="">
          <xdr:nvSpPr>
            <xdr:cNvPr id="230405" name="Button 5" hidden="1">
              <a:extLst>
                <a:ext uri="{63B3BB69-23CF-44E3-9099-C40C66FF867C}">
                  <a14:compatExt spid="_x0000_s230405"/>
                </a:ext>
                <a:ext uri="{FF2B5EF4-FFF2-40B4-BE49-F238E27FC236}">
                  <a16:creationId xmlns:a16="http://schemas.microsoft.com/office/drawing/2014/main" id="{00000000-0008-0000-3300-0000058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Location Adj.</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419100</xdr:colOff>
          <xdr:row>4</xdr:row>
          <xdr:rowOff>175260</xdr:rowOff>
        </xdr:from>
        <xdr:to>
          <xdr:col>10</xdr:col>
          <xdr:colOff>83820</xdr:colOff>
          <xdr:row>7</xdr:row>
          <xdr:rowOff>175260</xdr:rowOff>
        </xdr:to>
        <xdr:sp macro="" textlink="">
          <xdr:nvSpPr>
            <xdr:cNvPr id="229377" name="Button 1" hidden="1">
              <a:extLst>
                <a:ext uri="{63B3BB69-23CF-44E3-9099-C40C66FF867C}">
                  <a14:compatExt spid="_x0000_s229377"/>
                </a:ext>
                <a:ext uri="{FF2B5EF4-FFF2-40B4-BE49-F238E27FC236}">
                  <a16:creationId xmlns:a16="http://schemas.microsoft.com/office/drawing/2014/main" id="{00000000-0008-0000-3400-0000018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Parcel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830580</xdr:colOff>
          <xdr:row>5</xdr:row>
          <xdr:rowOff>0</xdr:rowOff>
        </xdr:from>
        <xdr:to>
          <xdr:col>12</xdr:col>
          <xdr:colOff>518160</xdr:colOff>
          <xdr:row>8</xdr:row>
          <xdr:rowOff>0</xdr:rowOff>
        </xdr:to>
        <xdr:sp macro="" textlink="">
          <xdr:nvSpPr>
            <xdr:cNvPr id="229378" name="Button 2" hidden="1">
              <a:extLst>
                <a:ext uri="{63B3BB69-23CF-44E3-9099-C40C66FF867C}">
                  <a14:compatExt spid="_x0000_s229378"/>
                </a:ext>
                <a:ext uri="{FF2B5EF4-FFF2-40B4-BE49-F238E27FC236}">
                  <a16:creationId xmlns:a16="http://schemas.microsoft.com/office/drawing/2014/main" id="{00000000-0008-0000-3400-0000028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Paste Image 1 From Clipboard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411480</xdr:colOff>
          <xdr:row>16</xdr:row>
          <xdr:rowOff>22860</xdr:rowOff>
        </xdr:from>
        <xdr:to>
          <xdr:col>10</xdr:col>
          <xdr:colOff>83820</xdr:colOff>
          <xdr:row>19</xdr:row>
          <xdr:rowOff>22860</xdr:rowOff>
        </xdr:to>
        <xdr:sp macro="" textlink="">
          <xdr:nvSpPr>
            <xdr:cNvPr id="229379" name="Button 3" hidden="1">
              <a:extLst>
                <a:ext uri="{63B3BB69-23CF-44E3-9099-C40C66FF867C}">
                  <a14:compatExt spid="_x0000_s229379"/>
                </a:ext>
                <a:ext uri="{FF2B5EF4-FFF2-40B4-BE49-F238E27FC236}">
                  <a16:creationId xmlns:a16="http://schemas.microsoft.com/office/drawing/2014/main" id="{00000000-0008-0000-3400-0000038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Paste Image 2 From Clipboard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411480</xdr:colOff>
          <xdr:row>19</xdr:row>
          <xdr:rowOff>38100</xdr:rowOff>
        </xdr:from>
        <xdr:to>
          <xdr:col>10</xdr:col>
          <xdr:colOff>83820</xdr:colOff>
          <xdr:row>22</xdr:row>
          <xdr:rowOff>38100</xdr:rowOff>
        </xdr:to>
        <xdr:sp macro="" textlink="">
          <xdr:nvSpPr>
            <xdr:cNvPr id="229380" name="Button 4" hidden="1">
              <a:extLst>
                <a:ext uri="{63B3BB69-23CF-44E3-9099-C40C66FF867C}">
                  <a14:compatExt spid="_x0000_s229380"/>
                </a:ext>
                <a:ext uri="{FF2B5EF4-FFF2-40B4-BE49-F238E27FC236}">
                  <a16:creationId xmlns:a16="http://schemas.microsoft.com/office/drawing/2014/main" id="{00000000-0008-0000-3400-0000048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Paste Image 3 From Clipboard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411480</xdr:colOff>
          <xdr:row>8</xdr:row>
          <xdr:rowOff>7620</xdr:rowOff>
        </xdr:from>
        <xdr:to>
          <xdr:col>10</xdr:col>
          <xdr:colOff>83820</xdr:colOff>
          <xdr:row>11</xdr:row>
          <xdr:rowOff>7620</xdr:rowOff>
        </xdr:to>
        <xdr:sp macro="" textlink="">
          <xdr:nvSpPr>
            <xdr:cNvPr id="229381" name="Button 5" hidden="1">
              <a:extLst>
                <a:ext uri="{63B3BB69-23CF-44E3-9099-C40C66FF867C}">
                  <a14:compatExt spid="_x0000_s229381"/>
                </a:ext>
                <a:ext uri="{FF2B5EF4-FFF2-40B4-BE49-F238E27FC236}">
                  <a16:creationId xmlns:a16="http://schemas.microsoft.com/office/drawing/2014/main" id="{00000000-0008-0000-3400-0000058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Map to Bottom of Page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419100</xdr:colOff>
          <xdr:row>1</xdr:row>
          <xdr:rowOff>175260</xdr:rowOff>
        </xdr:from>
        <xdr:to>
          <xdr:col>10</xdr:col>
          <xdr:colOff>83820</xdr:colOff>
          <xdr:row>4</xdr:row>
          <xdr:rowOff>175260</xdr:rowOff>
        </xdr:to>
        <xdr:sp macro="" textlink="">
          <xdr:nvSpPr>
            <xdr:cNvPr id="229382" name="Button 6" hidden="1">
              <a:extLst>
                <a:ext uri="{63B3BB69-23CF-44E3-9099-C40C66FF867C}">
                  <a14:compatExt spid="_x0000_s229382"/>
                </a:ext>
                <a:ext uri="{FF2B5EF4-FFF2-40B4-BE49-F238E27FC236}">
                  <a16:creationId xmlns:a16="http://schemas.microsoft.com/office/drawing/2014/main" id="{00000000-0008-0000-3400-0000068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Open Google Image Search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411480</xdr:colOff>
          <xdr:row>22</xdr:row>
          <xdr:rowOff>45720</xdr:rowOff>
        </xdr:from>
        <xdr:to>
          <xdr:col>10</xdr:col>
          <xdr:colOff>83820</xdr:colOff>
          <xdr:row>25</xdr:row>
          <xdr:rowOff>45720</xdr:rowOff>
        </xdr:to>
        <xdr:sp macro="" textlink="">
          <xdr:nvSpPr>
            <xdr:cNvPr id="229383" name="Button 7" hidden="1">
              <a:extLst>
                <a:ext uri="{63B3BB69-23CF-44E3-9099-C40C66FF867C}">
                  <a14:compatExt spid="_x0000_s229383"/>
                </a:ext>
                <a:ext uri="{FF2B5EF4-FFF2-40B4-BE49-F238E27FC236}">
                  <a16:creationId xmlns:a16="http://schemas.microsoft.com/office/drawing/2014/main" id="{00000000-0008-0000-3400-0000078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Map to Bottom of Page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411480</xdr:colOff>
          <xdr:row>13</xdr:row>
          <xdr:rowOff>7620</xdr:rowOff>
        </xdr:from>
        <xdr:to>
          <xdr:col>10</xdr:col>
          <xdr:colOff>83820</xdr:colOff>
          <xdr:row>16</xdr:row>
          <xdr:rowOff>7620</xdr:rowOff>
        </xdr:to>
        <xdr:sp macro="" textlink="">
          <xdr:nvSpPr>
            <xdr:cNvPr id="229384" name="Button 8" hidden="1">
              <a:extLst>
                <a:ext uri="{63B3BB69-23CF-44E3-9099-C40C66FF867C}">
                  <a14:compatExt spid="_x0000_s229384"/>
                </a:ext>
                <a:ext uri="{FF2B5EF4-FFF2-40B4-BE49-F238E27FC236}">
                  <a16:creationId xmlns:a16="http://schemas.microsoft.com/office/drawing/2014/main" id="{00000000-0008-0000-3400-0000088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Page 2</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oneCellAnchor>
    <xdr:from>
      <xdr:col>0</xdr:col>
      <xdr:colOff>1</xdr:colOff>
      <xdr:row>0</xdr:row>
      <xdr:rowOff>0</xdr:rowOff>
    </xdr:from>
    <xdr:ext cx="2362674" cy="2367643"/>
    <xdr:pic>
      <xdr:nvPicPr>
        <xdr:cNvPr id="2" name="Picture 1">
          <a:extLst>
            <a:ext uri="{FF2B5EF4-FFF2-40B4-BE49-F238E27FC236}">
              <a16:creationId xmlns:a16="http://schemas.microsoft.com/office/drawing/2014/main" id="{A1C08DCD-8DAC-4BED-B6C5-345EEA31557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0"/>
          <a:ext cx="2362674" cy="2367643"/>
        </a:xfrm>
        <a:prstGeom prst="rect">
          <a:avLst/>
        </a:prstGeom>
      </xdr:spPr>
    </xdr:pic>
    <xdr:clientData/>
  </xdr:oneCellAnchor>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160020</xdr:colOff>
          <xdr:row>8</xdr:row>
          <xdr:rowOff>60960</xdr:rowOff>
        </xdr:from>
        <xdr:to>
          <xdr:col>6</xdr:col>
          <xdr:colOff>30480</xdr:colOff>
          <xdr:row>10</xdr:row>
          <xdr:rowOff>152400</xdr:rowOff>
        </xdr:to>
        <xdr:sp macro="" textlink="">
          <xdr:nvSpPr>
            <xdr:cNvPr id="227329" name="Button 1" hidden="1">
              <a:extLst>
                <a:ext uri="{63B3BB69-23CF-44E3-9099-C40C66FF867C}">
                  <a14:compatExt spid="_x0000_s227329"/>
                </a:ext>
                <a:ext uri="{FF2B5EF4-FFF2-40B4-BE49-F238E27FC236}">
                  <a16:creationId xmlns:a16="http://schemas.microsoft.com/office/drawing/2014/main" id="{00000000-0008-0000-3800-0000017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Photo From Clipboard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769620</xdr:colOff>
          <xdr:row>8</xdr:row>
          <xdr:rowOff>60960</xdr:rowOff>
        </xdr:from>
        <xdr:to>
          <xdr:col>7</xdr:col>
          <xdr:colOff>640080</xdr:colOff>
          <xdr:row>10</xdr:row>
          <xdr:rowOff>152400</xdr:rowOff>
        </xdr:to>
        <xdr:sp macro="" textlink="">
          <xdr:nvSpPr>
            <xdr:cNvPr id="227330" name="Button 2" hidden="1">
              <a:extLst>
                <a:ext uri="{63B3BB69-23CF-44E3-9099-C40C66FF867C}">
                  <a14:compatExt spid="_x0000_s227330"/>
                </a:ext>
                <a:ext uri="{FF2B5EF4-FFF2-40B4-BE49-F238E27FC236}">
                  <a16:creationId xmlns:a16="http://schemas.microsoft.com/office/drawing/2014/main" id="{00000000-0008-0000-3800-0000027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Parcel Satellite View</a:t>
              </a:r>
            </a:p>
          </xdr:txBody>
        </xdr:sp>
        <xdr:clientData fPrintsWithSheet="0"/>
      </xdr:twoCellAnchor>
    </mc:Choice>
    <mc:Fallback/>
  </mc:AlternateContent>
  <xdr:oneCellAnchor>
    <xdr:from>
      <xdr:col>1</xdr:col>
      <xdr:colOff>1158967</xdr:colOff>
      <xdr:row>0</xdr:row>
      <xdr:rowOff>0</xdr:rowOff>
    </xdr:from>
    <xdr:ext cx="1363763" cy="1366630"/>
    <xdr:pic>
      <xdr:nvPicPr>
        <xdr:cNvPr id="2" name="Picture 1">
          <a:extLst>
            <a:ext uri="{FF2B5EF4-FFF2-40B4-BE49-F238E27FC236}">
              <a16:creationId xmlns:a16="http://schemas.microsoft.com/office/drawing/2014/main" id="{3F992D78-67E4-4452-8B2A-5A02BB51BFE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68717" y="0"/>
          <a:ext cx="1363763" cy="1366630"/>
        </a:xfrm>
        <a:prstGeom prst="rect">
          <a:avLst/>
        </a:prstGeom>
      </xdr:spPr>
    </xdr:pic>
    <xdr:clientData/>
  </xdr:oneCellAnchor>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68580</xdr:colOff>
          <xdr:row>0</xdr:row>
          <xdr:rowOff>38100</xdr:rowOff>
        </xdr:from>
        <xdr:to>
          <xdr:col>26</xdr:col>
          <xdr:colOff>1341120</xdr:colOff>
          <xdr:row>3</xdr:row>
          <xdr:rowOff>0</xdr:rowOff>
        </xdr:to>
        <xdr:sp macro="" textlink="">
          <xdr:nvSpPr>
            <xdr:cNvPr id="226305" name="Button 1" hidden="1">
              <a:extLst>
                <a:ext uri="{63B3BB69-23CF-44E3-9099-C40C66FF867C}">
                  <a14:compatExt spid="_x0000_s226305"/>
                </a:ext>
                <a:ext uri="{FF2B5EF4-FFF2-40B4-BE49-F238E27FC236}">
                  <a16:creationId xmlns:a16="http://schemas.microsoft.com/office/drawing/2014/main" id="{00000000-0008-0000-3B00-0000017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Compare to Aumentum</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594360</xdr:colOff>
          <xdr:row>5</xdr:row>
          <xdr:rowOff>7620</xdr:rowOff>
        </xdr:from>
        <xdr:to>
          <xdr:col>8</xdr:col>
          <xdr:colOff>716280</xdr:colOff>
          <xdr:row>7</xdr:row>
          <xdr:rowOff>144780</xdr:rowOff>
        </xdr:to>
        <xdr:sp macro="" textlink="">
          <xdr:nvSpPr>
            <xdr:cNvPr id="225281" name="Button 1" hidden="1">
              <a:extLst>
                <a:ext uri="{63B3BB69-23CF-44E3-9099-C40C66FF867C}">
                  <a14:compatExt spid="_x0000_s225281"/>
                </a:ext>
                <a:ext uri="{FF2B5EF4-FFF2-40B4-BE49-F238E27FC236}">
                  <a16:creationId xmlns:a16="http://schemas.microsoft.com/office/drawing/2014/main" id="{00000000-0008-0000-3D00-00000170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ea typeface="Calibri"/>
                  <a:cs typeface="Calibri"/>
                </a:rPr>
                <a:t>Clear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xdr:colOff>
          <xdr:row>5</xdr:row>
          <xdr:rowOff>7620</xdr:rowOff>
        </xdr:from>
        <xdr:to>
          <xdr:col>5</xdr:col>
          <xdr:colOff>571500</xdr:colOff>
          <xdr:row>7</xdr:row>
          <xdr:rowOff>144780</xdr:rowOff>
        </xdr:to>
        <xdr:sp macro="" textlink="">
          <xdr:nvSpPr>
            <xdr:cNvPr id="225282" name="Button 2" hidden="1">
              <a:extLst>
                <a:ext uri="{63B3BB69-23CF-44E3-9099-C40C66FF867C}">
                  <a14:compatExt spid="_x0000_s225282"/>
                </a:ext>
                <a:ext uri="{FF2B5EF4-FFF2-40B4-BE49-F238E27FC236}">
                  <a16:creationId xmlns:a16="http://schemas.microsoft.com/office/drawing/2014/main" id="{00000000-0008-0000-3D00-00000270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0" anchor="t" upright="1"/>
            <a:lstStyle/>
            <a:p>
              <a:pPr algn="ctr" rtl="0">
                <a:defRPr sz="1000"/>
              </a:pPr>
              <a:r>
                <a:rPr lang="en-US" sz="1400" b="1" i="0" u="none" strike="noStrike" baseline="0">
                  <a:solidFill>
                    <a:srgbClr val="000000"/>
                  </a:solidFill>
                  <a:latin typeface="Calibri"/>
                  <a:ea typeface="Calibri"/>
                  <a:cs typeface="Calibri"/>
                </a:rPr>
                <a:t>Import Comps </a:t>
              </a:r>
            </a:p>
            <a:p>
              <a:pPr algn="ctr" rtl="0">
                <a:defRPr sz="1000"/>
              </a:pPr>
              <a:r>
                <a:rPr lang="en-US" sz="1400" b="1" i="0" u="none" strike="noStrike" baseline="0">
                  <a:solidFill>
                    <a:srgbClr val="000000"/>
                  </a:solidFill>
                  <a:latin typeface="Calibri"/>
                  <a:ea typeface="Calibri"/>
                  <a:cs typeface="Calibri"/>
                </a:rPr>
                <a:t>(CoStar)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5</xdr:row>
          <xdr:rowOff>7620</xdr:rowOff>
        </xdr:from>
        <xdr:to>
          <xdr:col>12</xdr:col>
          <xdr:colOff>175260</xdr:colOff>
          <xdr:row>7</xdr:row>
          <xdr:rowOff>144780</xdr:rowOff>
        </xdr:to>
        <xdr:sp macro="" textlink="">
          <xdr:nvSpPr>
            <xdr:cNvPr id="225283" name="Button 3" hidden="1">
              <a:extLst>
                <a:ext uri="{63B3BB69-23CF-44E3-9099-C40C66FF867C}">
                  <a14:compatExt spid="_x0000_s225283"/>
                </a:ext>
                <a:ext uri="{FF2B5EF4-FFF2-40B4-BE49-F238E27FC236}">
                  <a16:creationId xmlns:a16="http://schemas.microsoft.com/office/drawing/2014/main" id="{00000000-0008-0000-3D00-00000370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ea typeface="Calibri"/>
                  <a:cs typeface="Calibri"/>
                </a:rPr>
                <a:t>Clear Pics and Maps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419100</xdr:colOff>
          <xdr:row>26</xdr:row>
          <xdr:rowOff>7620</xdr:rowOff>
        </xdr:from>
        <xdr:to>
          <xdr:col>8</xdr:col>
          <xdr:colOff>373380</xdr:colOff>
          <xdr:row>27</xdr:row>
          <xdr:rowOff>182880</xdr:rowOff>
        </xdr:to>
        <xdr:sp macro="" textlink="">
          <xdr:nvSpPr>
            <xdr:cNvPr id="225284" name="Button 4" hidden="1">
              <a:extLst>
                <a:ext uri="{63B3BB69-23CF-44E3-9099-C40C66FF867C}">
                  <a14:compatExt spid="_x0000_s225284"/>
                </a:ext>
                <a:ext uri="{FF2B5EF4-FFF2-40B4-BE49-F238E27FC236}">
                  <a16:creationId xmlns:a16="http://schemas.microsoft.com/office/drawing/2014/main" id="{00000000-0008-0000-3D00-0000047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Clear Subject Input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xdr:colOff>
          <xdr:row>26</xdr:row>
          <xdr:rowOff>7620</xdr:rowOff>
        </xdr:from>
        <xdr:to>
          <xdr:col>5</xdr:col>
          <xdr:colOff>403860</xdr:colOff>
          <xdr:row>27</xdr:row>
          <xdr:rowOff>182880</xdr:rowOff>
        </xdr:to>
        <xdr:sp macro="" textlink="">
          <xdr:nvSpPr>
            <xdr:cNvPr id="225285" name="Button 5" hidden="1">
              <a:extLst>
                <a:ext uri="{63B3BB69-23CF-44E3-9099-C40C66FF867C}">
                  <a14:compatExt spid="_x0000_s225285"/>
                </a:ext>
                <a:ext uri="{FF2B5EF4-FFF2-40B4-BE49-F238E27FC236}">
                  <a16:creationId xmlns:a16="http://schemas.microsoft.com/office/drawing/2014/main" id="{00000000-0008-0000-3D00-0000057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Populate Subject Info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cr-server7000\users$\dcano\Commerical\Appeals\structure%20packet%20megaC08%20template.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acr-resource-gw\users$\Nondo\Work\Excel\Appeal%20Packet%20(orig).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F:\Nondo\Work\Excel\Appeal%20Packet%20(orig).xls" TargetMode="External"/></Relationships>
</file>

<file path=xl/externalLinks/_rels/externalLink4.xml.rels><?xml version="1.0" encoding="UTF-8" standalone="yes"?>
<Relationships xmlns="http://schemas.openxmlformats.org/package/2006/relationships"><Relationship Id="rId3" Type="http://schemas.openxmlformats.org/officeDocument/2006/relationships/externalLinkPath" Target="../../../../CEA%20with%20manual%20sales%20grid%20and%20lease%20up%20loss.xlsm" TargetMode="External"/><Relationship Id="rId2" Type="http://schemas.openxmlformats.org/officeDocument/2006/relationships/externalLinkPath" Target="file:///\\acr-resource-gw.asrclkrec.org\Users$\e258399\Documents\Commercial%20General\CEA%20with%20manual%20sales%20grid%20and%20lease%20up%20loss.xlsm" TargetMode="External"/><Relationship Id="rId1" Type="http://schemas.openxmlformats.org/officeDocument/2006/relationships/externalLinkPath" Target="/e258399/Documents/Commercial%20General/CEA%20with%20manual%20sales%20grid%20and%20lease%20up%20loss.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acr-server7000\users$\dcano\Commerical\Appeals\MegaC08%20appeal%20packet%20and%20info\10-10384%20and%2010383%20C08%20multi\10-10384%20packet.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preciation"/>
      <sheetName val="Help"/>
      <sheetName val="Adj 1"/>
      <sheetName val="Adj 2"/>
      <sheetName val="Adj 3"/>
      <sheetName val="Adj 4"/>
      <sheetName val="Adj 5"/>
      <sheetName val="Adj 6"/>
      <sheetName val="Adj Menu"/>
      <sheetName val="Input"/>
      <sheetName val="Overview"/>
      <sheetName val="Cover"/>
      <sheetName val="Facts"/>
      <sheetName val="Intro Narrative"/>
      <sheetName val="Narrative (2)"/>
      <sheetName val="Narrative"/>
      <sheetName val="3 Comp Grid"/>
      <sheetName val="Map 1"/>
      <sheetName val="Map 2"/>
      <sheetName val="Subject"/>
      <sheetName val="3 Photos"/>
      <sheetName val="C-1"/>
      <sheetName val="C-2"/>
      <sheetName val="C-3"/>
      <sheetName val="C-4"/>
      <sheetName val="C-5"/>
      <sheetName val="3 Photos (2)"/>
      <sheetName val="Ref A - TRA"/>
      <sheetName val="Placeholder"/>
      <sheetName val="4 Comp Grid"/>
      <sheetName val="4 Photos"/>
      <sheetName val="Map 3"/>
      <sheetName val="Ref B - MH"/>
      <sheetName val="Graph"/>
      <sheetName val="Comps"/>
      <sheetName val="MH"/>
      <sheetName val="Info Ltr"/>
      <sheetName val="Prop 8"/>
      <sheetName val="Ref-A"/>
      <sheetName val="Ref-B"/>
      <sheetName val="Map1 BU"/>
      <sheetName val="Map2 BU"/>
      <sheetName val="Map3 BU"/>
      <sheetName val="Comp1"/>
      <sheetName val="Comp2"/>
      <sheetName val="Comp3"/>
      <sheetName val="Comp4"/>
      <sheetName val="Sale Info"/>
      <sheetName val="08CO"/>
      <sheetName val="08RC"/>
      <sheetName val="0802"/>
      <sheetName val="0804"/>
      <sheetName val="0805"/>
      <sheetName val="0806"/>
      <sheetName val="0807"/>
      <sheetName val="0808"/>
      <sheetName val="0809"/>
      <sheetName val="0810"/>
      <sheetName val="0811"/>
      <sheetName val="0812"/>
      <sheetName val="0813"/>
      <sheetName val="0814"/>
      <sheetName val="0818"/>
      <sheetName val="0819"/>
      <sheetName val="0821"/>
      <sheetName val="0824"/>
      <sheetName val="0854"/>
      <sheetName val="0859"/>
      <sheetName val="0865"/>
      <sheetName val="0871"/>
      <sheetName val="0888"/>
      <sheetName val="0889"/>
      <sheetName val="0894"/>
      <sheetName val="0899"/>
      <sheetName val="09CO"/>
      <sheetName val="09RC"/>
      <sheetName val="0905"/>
      <sheetName val="0908"/>
      <sheetName val="0909"/>
      <sheetName val="0921"/>
      <sheetName val="0925"/>
      <sheetName val="0926"/>
      <sheetName val="0959"/>
      <sheetName val="0965"/>
      <sheetName val="RIV0809"/>
      <sheetName val="TRA BU"/>
      <sheetName val="Objects"/>
    </sheetNames>
    <sheetDataSet>
      <sheetData sheetId="0"/>
      <sheetData sheetId="1"/>
      <sheetData sheetId="2"/>
      <sheetData sheetId="3"/>
      <sheetData sheetId="4"/>
      <sheetData sheetId="5"/>
      <sheetData sheetId="6"/>
      <sheetData sheetId="7"/>
      <sheetData sheetId="8"/>
      <sheetData sheetId="9">
        <row r="102">
          <cell r="AR102"/>
          <cell r="AW102" t="str">
            <v xml:space="preserve">Market data did not include any comparable sales with living area square footage that was closer in size to the subject, while still complying with R&amp;T Code 402.5 regarding similar age, location, sale condition, and time frame requirements.  Greater than </v>
          </cell>
        </row>
        <row r="109">
          <cell r="AK109" t="e">
            <v>#N/A</v>
          </cell>
        </row>
        <row r="112">
          <cell r="AS112"/>
        </row>
        <row r="113">
          <cell r="AK113" t="str">
            <v xml:space="preserve">Lot size differences were adjusted based on land values of $25k/acre up to the first full acre and $5k/acre for any surplus area greater than 1 acre, per market data.  </v>
          </cell>
        </row>
        <row r="124">
          <cell r="AE124"/>
        </row>
        <row r="132">
          <cell r="AE132"/>
          <cell r="AH132"/>
          <cell r="AI132"/>
          <cell r="AJ132"/>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INT"/>
      <sheetName val="Cover"/>
      <sheetName val="Adjustments"/>
      <sheetName val="Facts"/>
      <sheetName val="Lnd Comps"/>
      <sheetName val="Str Comps"/>
      <sheetName val="Map 1"/>
      <sheetName val="Map 2"/>
      <sheetName val="Map 3"/>
      <sheetName val="Sub 1 Pic"/>
      <sheetName val="Sub 2 Pics"/>
      <sheetName val="Comps 1-2"/>
      <sheetName val="Comps 3-4"/>
      <sheetName val="Stip Form"/>
      <sheetName val="Stip Bs Yr"/>
      <sheetName val="Stip Listing"/>
      <sheetName val="Current"/>
      <sheetName val="Withdrawl 1"/>
      <sheetName val="Withdrawl 2"/>
      <sheetName val="Reduction"/>
      <sheetName val="Denial"/>
      <sheetName val="Objects"/>
      <sheetName val="Residential"/>
    </sheetNames>
    <sheetDataSet>
      <sheetData sheetId="0" refreshError="1"/>
      <sheetData sheetId="1">
        <row r="9">
          <cell r="B9" t="str">
            <v>APPLICANT</v>
          </cell>
        </row>
        <row r="12">
          <cell r="C12" t="str">
            <v>Application #(s):</v>
          </cell>
          <cell r="E12" t="str">
            <v>03-0071</v>
          </cell>
        </row>
        <row r="16">
          <cell r="C16" t="str">
            <v>Name:</v>
          </cell>
        </row>
        <row r="20">
          <cell r="C20" t="str">
            <v>Agent:</v>
          </cell>
          <cell r="E20" t="str">
            <v>N/A</v>
          </cell>
        </row>
        <row r="24">
          <cell r="C24" t="str">
            <v>Agency:</v>
          </cell>
          <cell r="E24" t="str">
            <v>N/A</v>
          </cell>
        </row>
        <row r="30">
          <cell r="B30" t="str">
            <v>PREPARED BY:</v>
          </cell>
        </row>
        <row r="33">
          <cell r="C33" t="str">
            <v>Appraiser:</v>
          </cell>
          <cell r="E33" t="str">
            <v>Nondo Smith</v>
          </cell>
        </row>
        <row r="37">
          <cell r="C37" t="str">
            <v>Title:</v>
          </cell>
          <cell r="E37" t="str">
            <v>Appraiser I</v>
          </cell>
        </row>
        <row r="41">
          <cell r="C41" t="str">
            <v>Division:</v>
          </cell>
          <cell r="E41" t="str">
            <v>Residential</v>
          </cell>
        </row>
        <row r="45">
          <cell r="C45" t="str">
            <v>Office:</v>
          </cell>
          <cell r="E45" t="str">
            <v>Palm Springs</v>
          </cell>
        </row>
        <row r="49">
          <cell r="C49" t="str">
            <v>Hearing Date:</v>
          </cell>
          <cell r="E49">
            <v>38617</v>
          </cell>
        </row>
      </sheetData>
      <sheetData sheetId="2" refreshError="1"/>
      <sheetData sheetId="3">
        <row r="4">
          <cell r="B4" t="str">
            <v>RIVERSIDE COUNTY ASSESSMENT APPEALS BOARD</v>
          </cell>
        </row>
        <row r="6">
          <cell r="B6" t="str">
            <v xml:space="preserve">  STATEMENT OF FACTS</v>
          </cell>
        </row>
        <row r="8">
          <cell r="C8" t="str">
            <v xml:space="preserve">Application No.(s): </v>
          </cell>
          <cell r="D8" t="str">
            <v>03-0071</v>
          </cell>
        </row>
        <row r="11">
          <cell r="E11" t="str">
            <v xml:space="preserve"> Regular      </v>
          </cell>
        </row>
        <row r="13">
          <cell r="E13" t="str">
            <v xml:space="preserve"> Supplemental      </v>
          </cell>
          <cell r="F13" t="str">
            <v>X</v>
          </cell>
        </row>
        <row r="17">
          <cell r="E17" t="str">
            <v xml:space="preserve"> Prop. 8      </v>
          </cell>
        </row>
        <row r="19">
          <cell r="E19" t="str">
            <v xml:space="preserve"> Base Year      </v>
          </cell>
          <cell r="F19" t="str">
            <v>X</v>
          </cell>
        </row>
        <row r="22">
          <cell r="D22" t="str">
            <v>Supplemental Number:</v>
          </cell>
        </row>
        <row r="23">
          <cell r="D23" t="str">
            <v>Supplemental Year:</v>
          </cell>
        </row>
        <row r="24">
          <cell r="D24" t="str">
            <v>Assessment Number:</v>
          </cell>
        </row>
        <row r="25">
          <cell r="D25" t="str">
            <v>Parcel Number:</v>
          </cell>
          <cell r="E25">
            <v>5013730016</v>
          </cell>
        </row>
        <row r="26">
          <cell r="D26" t="str">
            <v>Applicant's Opinion of Value:</v>
          </cell>
        </row>
        <row r="27">
          <cell r="D27" t="str">
            <v>Assessor's Roll Value:</v>
          </cell>
        </row>
        <row r="28">
          <cell r="D28" t="str">
            <v>Assessor's Opinion of Value:</v>
          </cell>
          <cell r="E28">
            <v>170000</v>
          </cell>
        </row>
        <row r="29">
          <cell r="D29" t="str">
            <v xml:space="preserve">Effective Date of Appraisal: </v>
          </cell>
          <cell r="E29">
            <v>37292</v>
          </cell>
        </row>
        <row r="31">
          <cell r="B31" t="str">
            <v xml:space="preserve">  PROPERTY DESCRIPTION</v>
          </cell>
        </row>
        <row r="33">
          <cell r="C33" t="str">
            <v>Property Address:</v>
          </cell>
        </row>
        <row r="34">
          <cell r="C34" t="str">
            <v>Lot / Land Description:</v>
          </cell>
        </row>
        <row r="35">
          <cell r="C35" t="str">
            <v>Subject Site Topography:</v>
          </cell>
        </row>
        <row r="36">
          <cell r="C36" t="str">
            <v>Subject Site Present Use:</v>
          </cell>
        </row>
        <row r="37">
          <cell r="C37" t="str">
            <v>Surrounding Development:</v>
          </cell>
        </row>
        <row r="38">
          <cell r="C38" t="str">
            <v>Misc Improvements:</v>
          </cell>
        </row>
      </sheetData>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 sheetId="20"/>
      <sheetData sheetId="21" refreshError="1"/>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INT"/>
      <sheetName val="Cover"/>
      <sheetName val="Adjustments"/>
      <sheetName val="Facts"/>
      <sheetName val="Lnd Comps"/>
      <sheetName val="Str Comps"/>
      <sheetName val="Map 1"/>
      <sheetName val="Map 2"/>
      <sheetName val="Map 3"/>
      <sheetName val="Sub 1 Pic"/>
      <sheetName val="Sub 2 Pics"/>
      <sheetName val="Comps 1-2"/>
      <sheetName val="Comps 3-4"/>
      <sheetName val="Stip Form"/>
      <sheetName val="Stip Bs Yr"/>
      <sheetName val="Stip Listing"/>
      <sheetName val="Current"/>
      <sheetName val="Withdrawl 1"/>
      <sheetName val="Withdrawl 2"/>
      <sheetName val="Reduction"/>
      <sheetName val="Denial"/>
      <sheetName val="Objects"/>
      <sheetName val="Residential"/>
    </sheetNames>
    <sheetDataSet>
      <sheetData sheetId="0" refreshError="1"/>
      <sheetData sheetId="1">
        <row r="9">
          <cell r="B9" t="str">
            <v>APPLICANT</v>
          </cell>
        </row>
        <row r="12">
          <cell r="C12" t="str">
            <v>Application #(s):</v>
          </cell>
          <cell r="E12" t="str">
            <v>03-0071</v>
          </cell>
        </row>
        <row r="16">
          <cell r="C16" t="str">
            <v>Name:</v>
          </cell>
        </row>
        <row r="20">
          <cell r="C20" t="str">
            <v>Agent:</v>
          </cell>
          <cell r="E20" t="str">
            <v>N/A</v>
          </cell>
        </row>
        <row r="24">
          <cell r="C24" t="str">
            <v>Agency:</v>
          </cell>
          <cell r="E24" t="str">
            <v>N/A</v>
          </cell>
        </row>
        <row r="30">
          <cell r="B30" t="str">
            <v>PREPARED BY:</v>
          </cell>
        </row>
        <row r="33">
          <cell r="C33" t="str">
            <v>Appraiser:</v>
          </cell>
          <cell r="E33" t="str">
            <v>Nondo Smith</v>
          </cell>
        </row>
        <row r="37">
          <cell r="C37" t="str">
            <v>Title:</v>
          </cell>
          <cell r="E37" t="str">
            <v>Appraiser I</v>
          </cell>
        </row>
        <row r="41">
          <cell r="C41" t="str">
            <v>Division:</v>
          </cell>
          <cell r="E41" t="str">
            <v>Residential</v>
          </cell>
        </row>
        <row r="45">
          <cell r="C45" t="str">
            <v>Office:</v>
          </cell>
          <cell r="E45" t="str">
            <v>Palm Springs</v>
          </cell>
        </row>
        <row r="49">
          <cell r="C49" t="str">
            <v>Hearing Date:</v>
          </cell>
          <cell r="E49">
            <v>38617</v>
          </cell>
        </row>
      </sheetData>
      <sheetData sheetId="2" refreshError="1"/>
      <sheetData sheetId="3">
        <row r="4">
          <cell r="B4" t="str">
            <v>RIVERSIDE COUNTY ASSESSMENT APPEALS BOARD</v>
          </cell>
        </row>
      </sheetData>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 sheetId="20"/>
      <sheetData sheetId="21" refreshError="1"/>
      <sheetData sheetId="2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Database"/>
      <sheetName val="Improved"/>
      <sheetName val="input"/>
      <sheetName val="comp input"/>
      <sheetName val="sales grid"/>
      <sheetName val="CEA"/>
      <sheetName val="COMM_WKS (2)"/>
      <sheetName val="leaseup addl costs CEA Line 1"/>
      <sheetName val="Sheet1"/>
      <sheetName val="leaseup addl costs CEA Line 2"/>
      <sheetName val="leaseup addl costs CEA Line 3"/>
      <sheetName val="Comp Grid"/>
      <sheetName val="CoStar Rents &amp; CAPs"/>
      <sheetName val="5 Comp Grid"/>
      <sheetName val="LinearRegMode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6">
          <cell r="T6">
            <v>0.125</v>
          </cell>
        </row>
        <row r="7">
          <cell r="T7">
            <v>0.125</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preciation"/>
      <sheetName val="Help"/>
      <sheetName val="Adj 1"/>
      <sheetName val="Adj 2"/>
      <sheetName val="Adj 3"/>
      <sheetName val="Adj 4"/>
      <sheetName val="Adj 5"/>
      <sheetName val="Adj 6"/>
      <sheetName val="Adj Menu"/>
      <sheetName val="Input"/>
      <sheetName val="Overview"/>
      <sheetName val="Cover"/>
      <sheetName val="Facts"/>
      <sheetName val="Intro Narrative"/>
      <sheetName val="Narrative (2)"/>
      <sheetName val="Narrative"/>
      <sheetName val="4 Comp Grid"/>
      <sheetName val="Map 1"/>
      <sheetName val="Map 2"/>
      <sheetName val="Subject"/>
      <sheetName val="4 Photos"/>
      <sheetName val="Ref A - TRA"/>
      <sheetName val="Placeholder"/>
      <sheetName val="3 Comp Grid"/>
      <sheetName val="3 Photos"/>
      <sheetName val="Map 3"/>
      <sheetName val="Ref B - MH"/>
      <sheetName val="Graph"/>
      <sheetName val="Comps"/>
      <sheetName val="MH"/>
      <sheetName val="Info Ltr"/>
      <sheetName val="Prop 8"/>
      <sheetName val="Ref-A"/>
      <sheetName val="Ref-B"/>
      <sheetName val="Map1 BU"/>
      <sheetName val="Map2 BU"/>
      <sheetName val="Map3 BU"/>
      <sheetName val="Comp1"/>
      <sheetName val="Comp2"/>
      <sheetName val="Comp3"/>
      <sheetName val="Comp4"/>
      <sheetName val="Sale Info"/>
      <sheetName val="08CO"/>
      <sheetName val="08RC"/>
      <sheetName val="0802"/>
      <sheetName val="0804"/>
      <sheetName val="0805"/>
      <sheetName val="0806"/>
      <sheetName val="0807"/>
      <sheetName val="0808"/>
      <sheetName val="0809"/>
      <sheetName val="0810"/>
      <sheetName val="0811"/>
      <sheetName val="0812"/>
      <sheetName val="0813"/>
      <sheetName val="0814"/>
      <sheetName val="0818"/>
      <sheetName val="0819"/>
      <sheetName val="0821"/>
      <sheetName val="0824"/>
      <sheetName val="0854"/>
      <sheetName val="0859"/>
      <sheetName val="0865"/>
      <sheetName val="0871"/>
      <sheetName val="0888"/>
      <sheetName val="0889"/>
      <sheetName val="0894"/>
      <sheetName val="0899"/>
      <sheetName val="09CO"/>
      <sheetName val="09RC"/>
      <sheetName val="0905"/>
      <sheetName val="0908"/>
      <sheetName val="0909"/>
      <sheetName val="0921"/>
      <sheetName val="0925"/>
      <sheetName val="0926"/>
      <sheetName val="0959"/>
      <sheetName val="0965"/>
      <sheetName val="RIV0809"/>
      <sheetName val="TRA BU"/>
      <sheetName val="Objects"/>
      <sheetName val="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109">
          <cell r="AK109" t="e">
            <v>#N/A</v>
          </cell>
        </row>
      </sheetData>
      <sheetData sheetId="10" refreshError="1"/>
      <sheetData sheetId="11" refreshError="1"/>
      <sheetData sheetId="12" refreshError="1"/>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8AB9DE5-A5E9-44CD-A7E1-F04D23D1485C}" name="Table2" displayName="Table2" ref="A1:K9" totalsRowShown="0">
  <autoFilter ref="A1:K9" xr:uid="{27D6D49B-D16A-4676-B18B-46029FF2494E}"/>
  <tableColumns count="11">
    <tableColumn id="1" xr3:uid="{95822910-1BD8-41B2-94BD-ACB3B5DCE0BC}" name="Unit" dataDxfId="12"/>
    <tableColumn id="2" xr3:uid="{6EC8E38E-FB97-4520-9933-95EB61748C2B}" name="Tenant"/>
    <tableColumn id="3" xr3:uid="{A874B1A0-D8C2-4820-8847-7D4D9240C391}" name="SqFt" dataDxfId="11"/>
    <tableColumn id="4" xr3:uid="{C264A86F-1043-45E8-9A23-24960439002D}" name="$ PSF" dataDxfId="10"/>
    <tableColumn id="5" xr3:uid="{6440A669-CCF9-4697-BCCC-6D47375D5119}" name="$/PSF/MO" dataDxfId="9">
      <calculatedColumnFormula>D2/12</calculatedColumnFormula>
    </tableColumn>
    <tableColumn id="6" xr3:uid="{EF2C1532-8D5E-4439-9014-4E27117B732F}" name="Annual Rent" dataDxfId="8">
      <calculatedColumnFormula>D2*C2</calculatedColumnFormula>
    </tableColumn>
    <tableColumn id="7" xr3:uid="{5845E58C-021A-4C02-9620-998282791A70}" name="Monthly Rent" dataDxfId="7">
      <calculatedColumnFormula>E2*C2</calculatedColumnFormula>
    </tableColumn>
    <tableColumn id="8" xr3:uid="{70CFFA48-DA77-4374-B7AC-8CC5919F2665}" name="Rent From" dataDxfId="6"/>
    <tableColumn id="9" xr3:uid="{EAA45265-BF11-4F27-B1F0-DF0A7DE9C917}" name="Rent To" dataDxfId="5"/>
    <tableColumn id="10" xr3:uid="{F696D4DD-A44B-437A-953C-F065F0C1A67B}" name="Lease From" dataDxfId="4"/>
    <tableColumn id="11" xr3:uid="{F1FD3F68-3D61-4D22-B6C9-6CDB0E34C553}" name="Lease To" dataDxfId="3"/>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file:///\\rcant7.asrclkrec.org\data\Commercial\__Riv%20Com\Appeals\Appeal%20work%20(Appraisers)\Kyle\2026%20Hearing%20Date\2.11.26\24-00553" TargetMode="Externa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18" Type="http://schemas.openxmlformats.org/officeDocument/2006/relationships/ctrlProp" Target="../ctrlProps/ctrlProp20.xml"/><Relationship Id="rId3" Type="http://schemas.openxmlformats.org/officeDocument/2006/relationships/vmlDrawing" Target="../drawings/vmlDrawing2.vml"/><Relationship Id="rId21" Type="http://schemas.openxmlformats.org/officeDocument/2006/relationships/ctrlProp" Target="../ctrlProps/ctrlProp23.xml"/><Relationship Id="rId7" Type="http://schemas.openxmlformats.org/officeDocument/2006/relationships/ctrlProp" Target="../ctrlProps/ctrlProp9.xml"/><Relationship Id="rId12" Type="http://schemas.openxmlformats.org/officeDocument/2006/relationships/ctrlProp" Target="../ctrlProps/ctrlProp14.xml"/><Relationship Id="rId17" Type="http://schemas.openxmlformats.org/officeDocument/2006/relationships/ctrlProp" Target="../ctrlProps/ctrlProp19.xml"/><Relationship Id="rId2" Type="http://schemas.openxmlformats.org/officeDocument/2006/relationships/drawing" Target="../drawings/drawing2.xml"/><Relationship Id="rId16" Type="http://schemas.openxmlformats.org/officeDocument/2006/relationships/ctrlProp" Target="../ctrlProps/ctrlProp18.xml"/><Relationship Id="rId20" Type="http://schemas.openxmlformats.org/officeDocument/2006/relationships/ctrlProp" Target="../ctrlProps/ctrlProp22.xml"/><Relationship Id="rId1" Type="http://schemas.openxmlformats.org/officeDocument/2006/relationships/printerSettings" Target="../printerSettings/printerSettings3.bin"/><Relationship Id="rId6" Type="http://schemas.openxmlformats.org/officeDocument/2006/relationships/ctrlProp" Target="../ctrlProps/ctrlProp8.xml"/><Relationship Id="rId11" Type="http://schemas.openxmlformats.org/officeDocument/2006/relationships/ctrlProp" Target="../ctrlProps/ctrlProp13.xml"/><Relationship Id="rId24" Type="http://schemas.openxmlformats.org/officeDocument/2006/relationships/ctrlProp" Target="../ctrlProps/ctrlProp26.xml"/><Relationship Id="rId5" Type="http://schemas.openxmlformats.org/officeDocument/2006/relationships/ctrlProp" Target="../ctrlProps/ctrlProp7.xml"/><Relationship Id="rId15" Type="http://schemas.openxmlformats.org/officeDocument/2006/relationships/ctrlProp" Target="../ctrlProps/ctrlProp17.xml"/><Relationship Id="rId23" Type="http://schemas.openxmlformats.org/officeDocument/2006/relationships/ctrlProp" Target="../ctrlProps/ctrlProp25.xml"/><Relationship Id="rId10" Type="http://schemas.openxmlformats.org/officeDocument/2006/relationships/ctrlProp" Target="../ctrlProps/ctrlProp12.xml"/><Relationship Id="rId19" Type="http://schemas.openxmlformats.org/officeDocument/2006/relationships/ctrlProp" Target="../ctrlProps/ctrlProp21.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 Id="rId22" Type="http://schemas.openxmlformats.org/officeDocument/2006/relationships/ctrlProp" Target="../ctrlProps/ctrlProp2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3.xml"/><Relationship Id="rId3" Type="http://schemas.openxmlformats.org/officeDocument/2006/relationships/vmlDrawing" Target="../drawings/vmlDrawing4.vml"/><Relationship Id="rId7" Type="http://schemas.openxmlformats.org/officeDocument/2006/relationships/ctrlProp" Target="../ctrlProps/ctrlProp32.x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trlProp" Target="../ctrlProps/ctrlProp31.xml"/><Relationship Id="rId11" Type="http://schemas.openxmlformats.org/officeDocument/2006/relationships/ctrlProp" Target="../ctrlProps/ctrlProp36.xml"/><Relationship Id="rId5" Type="http://schemas.openxmlformats.org/officeDocument/2006/relationships/ctrlProp" Target="../ctrlProps/ctrlProp30.xml"/><Relationship Id="rId10" Type="http://schemas.openxmlformats.org/officeDocument/2006/relationships/ctrlProp" Target="../ctrlProps/ctrlProp35.xml"/><Relationship Id="rId4" Type="http://schemas.openxmlformats.org/officeDocument/2006/relationships/ctrlProp" Target="../ctrlProps/ctrlProp29.xml"/><Relationship Id="rId9" Type="http://schemas.openxmlformats.org/officeDocument/2006/relationships/ctrlProp" Target="../ctrlProps/ctrlProp34.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41.xml"/><Relationship Id="rId3" Type="http://schemas.openxmlformats.org/officeDocument/2006/relationships/vmlDrawing" Target="../drawings/vmlDrawing5.vml"/><Relationship Id="rId7" Type="http://schemas.openxmlformats.org/officeDocument/2006/relationships/ctrlProp" Target="../ctrlProps/ctrlProp40.xml"/><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trlProp" Target="../ctrlProps/ctrlProp39.xml"/><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49.xml"/><Relationship Id="rId13" Type="http://schemas.openxmlformats.org/officeDocument/2006/relationships/ctrlProp" Target="../ctrlProps/ctrlProp54.xml"/><Relationship Id="rId18" Type="http://schemas.openxmlformats.org/officeDocument/2006/relationships/ctrlProp" Target="../ctrlProps/ctrlProp59.xml"/><Relationship Id="rId3" Type="http://schemas.openxmlformats.org/officeDocument/2006/relationships/vmlDrawing" Target="../drawings/vmlDrawing7.vml"/><Relationship Id="rId7" Type="http://schemas.openxmlformats.org/officeDocument/2006/relationships/ctrlProp" Target="../ctrlProps/ctrlProp48.xml"/><Relationship Id="rId12" Type="http://schemas.openxmlformats.org/officeDocument/2006/relationships/ctrlProp" Target="../ctrlProps/ctrlProp53.xml"/><Relationship Id="rId17" Type="http://schemas.openxmlformats.org/officeDocument/2006/relationships/ctrlProp" Target="../ctrlProps/ctrlProp58.xml"/><Relationship Id="rId2" Type="http://schemas.openxmlformats.org/officeDocument/2006/relationships/drawing" Target="../drawings/drawing8.xml"/><Relationship Id="rId16" Type="http://schemas.openxmlformats.org/officeDocument/2006/relationships/ctrlProp" Target="../ctrlProps/ctrlProp57.xml"/><Relationship Id="rId1" Type="http://schemas.openxmlformats.org/officeDocument/2006/relationships/printerSettings" Target="../printerSettings/printerSettings14.bin"/><Relationship Id="rId6" Type="http://schemas.openxmlformats.org/officeDocument/2006/relationships/ctrlProp" Target="../ctrlProps/ctrlProp47.xml"/><Relationship Id="rId11" Type="http://schemas.openxmlformats.org/officeDocument/2006/relationships/ctrlProp" Target="../ctrlProps/ctrlProp52.xml"/><Relationship Id="rId5" Type="http://schemas.openxmlformats.org/officeDocument/2006/relationships/ctrlProp" Target="../ctrlProps/ctrlProp46.xml"/><Relationship Id="rId15" Type="http://schemas.openxmlformats.org/officeDocument/2006/relationships/ctrlProp" Target="../ctrlProps/ctrlProp56.xml"/><Relationship Id="rId10" Type="http://schemas.openxmlformats.org/officeDocument/2006/relationships/ctrlProp" Target="../ctrlProps/ctrlProp51.xml"/><Relationship Id="rId19" Type="http://schemas.openxmlformats.org/officeDocument/2006/relationships/ctrlProp" Target="../ctrlProps/ctrlProp60.xml"/><Relationship Id="rId4" Type="http://schemas.openxmlformats.org/officeDocument/2006/relationships/ctrlProp" Target="../ctrlProps/ctrlProp45.xml"/><Relationship Id="rId9" Type="http://schemas.openxmlformats.org/officeDocument/2006/relationships/ctrlProp" Target="../ctrlProps/ctrlProp50.xml"/><Relationship Id="rId14" Type="http://schemas.openxmlformats.org/officeDocument/2006/relationships/ctrlProp" Target="../ctrlProps/ctrlProp5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5.bin"/><Relationship Id="rId5" Type="http://schemas.openxmlformats.org/officeDocument/2006/relationships/ctrlProp" Target="../ctrlProps/ctrlProp62.xml"/><Relationship Id="rId4" Type="http://schemas.openxmlformats.org/officeDocument/2006/relationships/ctrlProp" Target="../ctrlProps/ctrlProp6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63.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6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6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6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67.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68.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69.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70.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71.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72.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1.xml"/><Relationship Id="rId1" Type="http://schemas.openxmlformats.org/officeDocument/2006/relationships/printerSettings" Target="../printerSettings/printerSettings31.bin"/><Relationship Id="rId4" Type="http://schemas.openxmlformats.org/officeDocument/2006/relationships/ctrlProp" Target="../ctrlProps/ctrlProp73.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2.xml"/><Relationship Id="rId1" Type="http://schemas.openxmlformats.org/officeDocument/2006/relationships/printerSettings" Target="../printerSettings/printerSettings32.bin"/><Relationship Id="rId4" Type="http://schemas.openxmlformats.org/officeDocument/2006/relationships/ctrlProp" Target="../ctrlProps/ctrlProp74.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3.xml"/><Relationship Id="rId1" Type="http://schemas.openxmlformats.org/officeDocument/2006/relationships/printerSettings" Target="../printerSettings/printerSettings33.bin"/><Relationship Id="rId4" Type="http://schemas.openxmlformats.org/officeDocument/2006/relationships/ctrlProp" Target="../ctrlProps/ctrlProp75.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4.xml"/><Relationship Id="rId1" Type="http://schemas.openxmlformats.org/officeDocument/2006/relationships/printerSettings" Target="../printerSettings/printerSettings34.bin"/><Relationship Id="rId4" Type="http://schemas.openxmlformats.org/officeDocument/2006/relationships/ctrlProp" Target="../ctrlProps/ctrlProp76.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5.xml"/><Relationship Id="rId1" Type="http://schemas.openxmlformats.org/officeDocument/2006/relationships/printerSettings" Target="../printerSettings/printerSettings35.bin"/><Relationship Id="rId4" Type="http://schemas.openxmlformats.org/officeDocument/2006/relationships/ctrlProp" Target="../ctrlProps/ctrlProp77.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6.xml"/><Relationship Id="rId1" Type="http://schemas.openxmlformats.org/officeDocument/2006/relationships/printerSettings" Target="../printerSettings/printerSettings38.bin"/><Relationship Id="rId4" Type="http://schemas.openxmlformats.org/officeDocument/2006/relationships/ctrlProp" Target="../ctrlProps/ctrlProp7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7.xml"/><Relationship Id="rId1" Type="http://schemas.openxmlformats.org/officeDocument/2006/relationships/printerSettings" Target="../printerSettings/printerSettings39.bin"/><Relationship Id="rId4" Type="http://schemas.openxmlformats.org/officeDocument/2006/relationships/ctrlProp" Target="../ctrlProps/ctrlProp7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8.xml"/><Relationship Id="rId1" Type="http://schemas.openxmlformats.org/officeDocument/2006/relationships/printerSettings" Target="../printerSettings/printerSettings40.bin"/><Relationship Id="rId4" Type="http://schemas.openxmlformats.org/officeDocument/2006/relationships/ctrlProp" Target="../ctrlProps/ctrlProp80.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9.xml"/><Relationship Id="rId1" Type="http://schemas.openxmlformats.org/officeDocument/2006/relationships/printerSettings" Target="../printerSettings/printerSettings41.bin"/><Relationship Id="rId4" Type="http://schemas.openxmlformats.org/officeDocument/2006/relationships/ctrlProp" Target="../ctrlProps/ctrlProp81.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0.xml"/><Relationship Id="rId1" Type="http://schemas.openxmlformats.org/officeDocument/2006/relationships/printerSettings" Target="../printerSettings/printerSettings42.bin"/><Relationship Id="rId4" Type="http://schemas.openxmlformats.org/officeDocument/2006/relationships/ctrlProp" Target="../ctrlProps/ctrlProp82.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1.xml"/><Relationship Id="rId1" Type="http://schemas.openxmlformats.org/officeDocument/2006/relationships/printerSettings" Target="../printerSettings/printerSettings43.bin"/><Relationship Id="rId4" Type="http://schemas.openxmlformats.org/officeDocument/2006/relationships/ctrlProp" Target="../ctrlProps/ctrlProp83.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2.xml"/><Relationship Id="rId1" Type="http://schemas.openxmlformats.org/officeDocument/2006/relationships/printerSettings" Target="../printerSettings/printerSettings44.bin"/><Relationship Id="rId4" Type="http://schemas.openxmlformats.org/officeDocument/2006/relationships/ctrlProp" Target="../ctrlProps/ctrlProp84.xml"/></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4.xml"/><Relationship Id="rId1" Type="http://schemas.openxmlformats.org/officeDocument/2006/relationships/printerSettings" Target="../printerSettings/printerSettings48.bin"/><Relationship Id="rId5" Type="http://schemas.openxmlformats.org/officeDocument/2006/relationships/ctrlProp" Target="../ctrlProps/ctrlProp86.xml"/><Relationship Id="rId4" Type="http://schemas.openxmlformats.org/officeDocument/2006/relationships/ctrlProp" Target="../ctrlProps/ctrlProp85.xml"/></Relationships>
</file>

<file path=xl/worksheets/_rels/sheet49.xml.rels><?xml version="1.0" encoding="UTF-8" standalone="yes"?>
<Relationships xmlns="http://schemas.openxmlformats.org/package/2006/relationships"><Relationship Id="rId8" Type="http://schemas.openxmlformats.org/officeDocument/2006/relationships/ctrlProp" Target="../ctrlProps/ctrlProp91.xml"/><Relationship Id="rId13" Type="http://schemas.openxmlformats.org/officeDocument/2006/relationships/ctrlProp" Target="../ctrlProps/ctrlProp96.xml"/><Relationship Id="rId18" Type="http://schemas.openxmlformats.org/officeDocument/2006/relationships/ctrlProp" Target="../ctrlProps/ctrlProp101.xml"/><Relationship Id="rId3" Type="http://schemas.openxmlformats.org/officeDocument/2006/relationships/vmlDrawing" Target="../drawings/vmlDrawing32.v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 Type="http://schemas.openxmlformats.org/officeDocument/2006/relationships/drawing" Target="../drawings/drawing35.xml"/><Relationship Id="rId16" Type="http://schemas.openxmlformats.org/officeDocument/2006/relationships/ctrlProp" Target="../ctrlProps/ctrlProp99.xml"/><Relationship Id="rId1" Type="http://schemas.openxmlformats.org/officeDocument/2006/relationships/printerSettings" Target="../printerSettings/printerSettings49.bin"/><Relationship Id="rId6" Type="http://schemas.openxmlformats.org/officeDocument/2006/relationships/ctrlProp" Target="../ctrlProps/ctrlProp89.xml"/><Relationship Id="rId11" Type="http://schemas.openxmlformats.org/officeDocument/2006/relationships/ctrlProp" Target="../ctrlProps/ctrlProp94.xml"/><Relationship Id="rId5" Type="http://schemas.openxmlformats.org/officeDocument/2006/relationships/ctrlProp" Target="../ctrlProps/ctrlProp88.xml"/><Relationship Id="rId15" Type="http://schemas.openxmlformats.org/officeDocument/2006/relationships/ctrlProp" Target="../ctrlProps/ctrlProp98.xml"/><Relationship Id="rId10" Type="http://schemas.openxmlformats.org/officeDocument/2006/relationships/ctrlProp" Target="../ctrlProps/ctrlProp93.xml"/><Relationship Id="rId19" Type="http://schemas.openxmlformats.org/officeDocument/2006/relationships/ctrlProp" Target="../ctrlProps/ctrlProp102.xml"/><Relationship Id="rId4" Type="http://schemas.openxmlformats.org/officeDocument/2006/relationships/ctrlProp" Target="../ctrlProps/ctrlProp87.xml"/><Relationship Id="rId9" Type="http://schemas.openxmlformats.org/officeDocument/2006/relationships/ctrlProp" Target="../ctrlProps/ctrlProp92.xml"/><Relationship Id="rId14" Type="http://schemas.openxmlformats.org/officeDocument/2006/relationships/ctrlProp" Target="../ctrlProps/ctrlProp97.xml"/></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6.xml"/><Relationship Id="rId1" Type="http://schemas.openxmlformats.org/officeDocument/2006/relationships/printerSettings" Target="../printerSettings/printerSettings51.bin"/><Relationship Id="rId6" Type="http://schemas.openxmlformats.org/officeDocument/2006/relationships/ctrlProp" Target="../ctrlProps/ctrlProp105.xml"/><Relationship Id="rId5" Type="http://schemas.openxmlformats.org/officeDocument/2006/relationships/ctrlProp" Target="../ctrlProps/ctrlProp104.xml"/><Relationship Id="rId4" Type="http://schemas.openxmlformats.org/officeDocument/2006/relationships/ctrlProp" Target="../ctrlProps/ctrlProp103.xml"/></Relationships>
</file>

<file path=xl/worksheets/_rels/sheet52.xml.rels><?xml version="1.0" encoding="UTF-8" standalone="yes"?>
<Relationships xmlns="http://schemas.openxmlformats.org/package/2006/relationships"><Relationship Id="rId8" Type="http://schemas.openxmlformats.org/officeDocument/2006/relationships/ctrlProp" Target="../ctrlProps/ctrlProp110.xml"/><Relationship Id="rId3" Type="http://schemas.openxmlformats.org/officeDocument/2006/relationships/vmlDrawing" Target="../drawings/vmlDrawing34.vml"/><Relationship Id="rId7" Type="http://schemas.openxmlformats.org/officeDocument/2006/relationships/ctrlProp" Target="../ctrlProps/ctrlProp109.xml"/><Relationship Id="rId2" Type="http://schemas.openxmlformats.org/officeDocument/2006/relationships/drawing" Target="../drawings/drawing37.xml"/><Relationship Id="rId1" Type="http://schemas.openxmlformats.org/officeDocument/2006/relationships/printerSettings" Target="../printerSettings/printerSettings52.bin"/><Relationship Id="rId6" Type="http://schemas.openxmlformats.org/officeDocument/2006/relationships/ctrlProp" Target="../ctrlProps/ctrlProp108.xml"/><Relationship Id="rId5" Type="http://schemas.openxmlformats.org/officeDocument/2006/relationships/ctrlProp" Target="../ctrlProps/ctrlProp107.xml"/><Relationship Id="rId4" Type="http://schemas.openxmlformats.org/officeDocument/2006/relationships/ctrlProp" Target="../ctrlProps/ctrlProp106.xml"/></Relationships>
</file>

<file path=xl/worksheets/_rels/sheet53.xml.rels><?xml version="1.0" encoding="UTF-8" standalone="yes"?>
<Relationships xmlns="http://schemas.openxmlformats.org/package/2006/relationships"><Relationship Id="rId8" Type="http://schemas.openxmlformats.org/officeDocument/2006/relationships/ctrlProp" Target="../ctrlProps/ctrlProp115.xml"/><Relationship Id="rId3" Type="http://schemas.openxmlformats.org/officeDocument/2006/relationships/vmlDrawing" Target="../drawings/vmlDrawing35.vml"/><Relationship Id="rId7" Type="http://schemas.openxmlformats.org/officeDocument/2006/relationships/ctrlProp" Target="../ctrlProps/ctrlProp114.xml"/><Relationship Id="rId2" Type="http://schemas.openxmlformats.org/officeDocument/2006/relationships/drawing" Target="../drawings/drawing38.xml"/><Relationship Id="rId1" Type="http://schemas.openxmlformats.org/officeDocument/2006/relationships/printerSettings" Target="../printerSettings/printerSettings53.bin"/><Relationship Id="rId6" Type="http://schemas.openxmlformats.org/officeDocument/2006/relationships/ctrlProp" Target="../ctrlProps/ctrlProp113.xml"/><Relationship Id="rId11" Type="http://schemas.openxmlformats.org/officeDocument/2006/relationships/ctrlProp" Target="../ctrlProps/ctrlProp118.xml"/><Relationship Id="rId5" Type="http://schemas.openxmlformats.org/officeDocument/2006/relationships/ctrlProp" Target="../ctrlProps/ctrlProp112.xml"/><Relationship Id="rId10" Type="http://schemas.openxmlformats.org/officeDocument/2006/relationships/ctrlProp" Target="../ctrlProps/ctrlProp117.xml"/><Relationship Id="rId4" Type="http://schemas.openxmlformats.org/officeDocument/2006/relationships/ctrlProp" Target="../ctrlProps/ctrlProp111.xml"/><Relationship Id="rId9" Type="http://schemas.openxmlformats.org/officeDocument/2006/relationships/ctrlProp" Target="../ctrlProps/ctrlProp116.x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40.xml"/><Relationship Id="rId1" Type="http://schemas.openxmlformats.org/officeDocument/2006/relationships/printerSettings" Target="../printerSettings/printerSettings57.bin"/><Relationship Id="rId5" Type="http://schemas.openxmlformats.org/officeDocument/2006/relationships/ctrlProp" Target="../ctrlProps/ctrlProp120.xml"/><Relationship Id="rId4" Type="http://schemas.openxmlformats.org/officeDocument/2006/relationships/ctrlProp" Target="../ctrlProps/ctrlProp119.xml"/></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41.xml"/><Relationship Id="rId1" Type="http://schemas.openxmlformats.org/officeDocument/2006/relationships/printerSettings" Target="../printerSettings/printerSettings60.bin"/><Relationship Id="rId4" Type="http://schemas.openxmlformats.org/officeDocument/2006/relationships/ctrlProp" Target="../ctrlProps/ctrlProp121.xml"/></Relationships>
</file>

<file path=xl/worksheets/_rels/sheet61.xml.rels><?xml version="1.0" encoding="UTF-8" standalone="yes"?>
<Relationships xmlns="http://schemas.openxmlformats.org/package/2006/relationships"><Relationship Id="rId2" Type="http://schemas.openxmlformats.org/officeDocument/2006/relationships/printerSettings" Target="../printerSettings/printerSettings61.bin"/><Relationship Id="rId1" Type="http://schemas.openxmlformats.org/officeDocument/2006/relationships/hyperlink" Target="file:///\\rcant7.asrclkrec.org\data\Commercial\__Riv%20Com\Appeals\Appeal%20work%20(Appraisers)\Kyle\2026%20Hearing%20Date\2.11.26\24-00553" TargetMode="External"/></Relationships>
</file>

<file path=xl/worksheets/_rels/sheet62.xml.rels><?xml version="1.0" encoding="UTF-8" standalone="yes"?>
<Relationships xmlns="http://schemas.openxmlformats.org/package/2006/relationships"><Relationship Id="rId8" Type="http://schemas.openxmlformats.org/officeDocument/2006/relationships/ctrlProp" Target="../ctrlProps/ctrlProp126.xml"/><Relationship Id="rId3" Type="http://schemas.openxmlformats.org/officeDocument/2006/relationships/vmlDrawing" Target="../drawings/vmlDrawing38.vml"/><Relationship Id="rId7" Type="http://schemas.openxmlformats.org/officeDocument/2006/relationships/ctrlProp" Target="../ctrlProps/ctrlProp125.xml"/><Relationship Id="rId2" Type="http://schemas.openxmlformats.org/officeDocument/2006/relationships/drawing" Target="../drawings/drawing42.xml"/><Relationship Id="rId1" Type="http://schemas.openxmlformats.org/officeDocument/2006/relationships/printerSettings" Target="../printerSettings/printerSettings62.bin"/><Relationship Id="rId6" Type="http://schemas.openxmlformats.org/officeDocument/2006/relationships/ctrlProp" Target="../ctrlProps/ctrlProp124.xml"/><Relationship Id="rId5" Type="http://schemas.openxmlformats.org/officeDocument/2006/relationships/ctrlProp" Target="../ctrlProps/ctrlProp123.xml"/><Relationship Id="rId4" Type="http://schemas.openxmlformats.org/officeDocument/2006/relationships/ctrlProp" Target="../ctrlProps/ctrlProp12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C036DC-F7DB-49CC-A1FE-190899048252}">
  <sheetPr codeName="Sheet210"/>
  <dimension ref="A1:Z69"/>
  <sheetViews>
    <sheetView showGridLines="0" showZeros="0" tabSelected="1" zoomScale="115" zoomScaleNormal="115" zoomScalePageLayoutView="115" workbookViewId="0">
      <selection activeCell="A2" sqref="A2:B2"/>
    </sheetView>
  </sheetViews>
  <sheetFormatPr defaultColWidth="9.109375" defaultRowHeight="15" customHeight="1"/>
  <cols>
    <col min="1" max="1" width="27.5546875" style="256" customWidth="1"/>
    <col min="2" max="2" width="26" style="257" customWidth="1"/>
    <col min="3" max="3" width="2.5546875" style="21" customWidth="1"/>
    <col min="4" max="4" width="12.109375" style="21" customWidth="1"/>
    <col min="5" max="5" width="2.109375" style="21" customWidth="1"/>
    <col min="6" max="6" width="10.6640625" style="21" customWidth="1"/>
    <col min="7" max="7" width="9.109375" style="21"/>
    <col min="8" max="8" width="2" style="21" customWidth="1"/>
    <col min="9" max="9" width="10.5546875" style="21" customWidth="1"/>
    <col min="10" max="10" width="9.109375" style="21"/>
    <col min="11" max="11" width="2" style="21" customWidth="1"/>
    <col min="12" max="12" width="10.5546875" style="21" customWidth="1"/>
    <col min="13" max="13" width="9.109375" style="21"/>
    <col min="14" max="14" width="2" style="21" customWidth="1"/>
    <col min="15" max="15" width="9.109375" style="21"/>
    <col min="16" max="16" width="9.33203125" style="21" customWidth="1"/>
    <col min="17" max="17" width="8.6640625" style="21" customWidth="1"/>
    <col min="18" max="18" width="12.6640625" style="21" customWidth="1"/>
    <col min="19" max="19" width="14.6640625" style="21" customWidth="1"/>
    <col min="20" max="20" width="15.6640625" style="21" customWidth="1"/>
    <col min="21" max="21" width="13.33203125" style="23" customWidth="1"/>
    <col min="22" max="22" width="15.33203125" style="21" customWidth="1"/>
    <col min="23" max="23" width="7.109375" style="21" bestFit="1" customWidth="1"/>
    <col min="24" max="24" width="14.44140625" style="21" customWidth="1"/>
    <col min="25" max="25" width="10.88671875" style="21" customWidth="1"/>
    <col min="26" max="29" width="9.109375" style="21"/>
    <col min="30" max="30" width="12.5546875" style="21" customWidth="1"/>
    <col min="31" max="16384" width="9.109375" style="21"/>
  </cols>
  <sheetData>
    <row r="1" spans="1:26" ht="3.75" customHeight="1">
      <c r="A1" s="21"/>
      <c r="B1" s="21"/>
      <c r="Q1" s="271"/>
      <c r="R1" s="271"/>
      <c r="S1" s="271"/>
      <c r="T1" s="271"/>
      <c r="U1" s="242"/>
      <c r="V1" s="271"/>
      <c r="W1" s="271"/>
      <c r="X1" s="271"/>
    </row>
    <row r="2" spans="1:26" ht="15" customHeight="1">
      <c r="A2" s="825"/>
      <c r="B2" s="825"/>
      <c r="C2" s="281"/>
      <c r="D2" s="301" t="s">
        <v>91</v>
      </c>
      <c r="E2" s="272"/>
      <c r="F2" s="301" t="s">
        <v>134</v>
      </c>
      <c r="G2" s="298" t="b">
        <v>1</v>
      </c>
      <c r="H2" s="272"/>
      <c r="I2" s="301" t="s">
        <v>267</v>
      </c>
      <c r="J2" s="298" t="b">
        <v>0</v>
      </c>
      <c r="K2" s="272"/>
      <c r="L2" s="301" t="s">
        <v>277</v>
      </c>
      <c r="M2" s="298" t="b">
        <v>0</v>
      </c>
      <c r="N2" s="272"/>
      <c r="O2" s="301" t="s">
        <v>437</v>
      </c>
      <c r="P2" s="298" t="b">
        <v>0</v>
      </c>
      <c r="Q2" s="537" t="s">
        <v>303</v>
      </c>
      <c r="R2" s="538" t="s">
        <v>305</v>
      </c>
      <c r="S2" s="537" t="s">
        <v>306</v>
      </c>
      <c r="T2" s="539" t="s">
        <v>304</v>
      </c>
      <c r="U2" s="533"/>
      <c r="V2" s="533"/>
      <c r="W2" s="533"/>
      <c r="X2" s="533"/>
      <c r="Y2" s="272"/>
      <c r="Z2" s="272"/>
    </row>
    <row r="3" spans="1:26" ht="15" customHeight="1">
      <c r="A3" s="835" t="s">
        <v>281</v>
      </c>
      <c r="B3" s="835"/>
      <c r="C3" s="282"/>
      <c r="D3" s="297" t="s">
        <v>123</v>
      </c>
      <c r="E3" s="272"/>
      <c r="F3" s="301" t="s">
        <v>135</v>
      </c>
      <c r="G3" s="298" t="b">
        <v>0</v>
      </c>
      <c r="H3" s="272"/>
      <c r="I3" s="301" t="s">
        <v>268</v>
      </c>
      <c r="J3" s="298" t="b">
        <v>1</v>
      </c>
      <c r="K3" s="272"/>
      <c r="L3" s="301" t="s">
        <v>278</v>
      </c>
      <c r="M3" s="298" t="b">
        <v>0</v>
      </c>
      <c r="N3" s="272"/>
      <c r="O3" s="734" t="s">
        <v>438</v>
      </c>
      <c r="P3" s="735" t="b">
        <v>0</v>
      </c>
      <c r="Q3" s="540">
        <v>2026</v>
      </c>
      <c r="R3" s="531">
        <v>202374</v>
      </c>
      <c r="S3" s="531">
        <v>700671</v>
      </c>
      <c r="T3" s="531">
        <v>903045</v>
      </c>
      <c r="U3" s="534"/>
      <c r="V3" s="534"/>
      <c r="W3" s="534"/>
      <c r="X3" s="534"/>
      <c r="Y3" s="272"/>
      <c r="Z3" s="272"/>
    </row>
    <row r="4" spans="1:26" ht="15" customHeight="1">
      <c r="A4" s="299" t="s">
        <v>264</v>
      </c>
      <c r="B4" s="286">
        <f ca="1">TODAY()</f>
        <v>46232</v>
      </c>
      <c r="C4" s="276"/>
      <c r="D4" s="272"/>
      <c r="E4" s="272"/>
      <c r="F4" s="301" t="s">
        <v>428</v>
      </c>
      <c r="G4" s="298" t="b">
        <v>0</v>
      </c>
      <c r="H4" s="272"/>
      <c r="I4" s="517" t="s">
        <v>300</v>
      </c>
      <c r="J4" s="516" t="b">
        <v>0</v>
      </c>
      <c r="K4" s="272"/>
      <c r="L4" s="272"/>
      <c r="M4" s="272"/>
      <c r="N4" s="276"/>
      <c r="O4" s="733"/>
      <c r="P4" s="733"/>
      <c r="Q4" s="540">
        <v>2025</v>
      </c>
      <c r="R4" s="531">
        <v>198406</v>
      </c>
      <c r="S4" s="531">
        <v>686933</v>
      </c>
      <c r="T4" s="531">
        <v>885339</v>
      </c>
      <c r="U4" s="534"/>
      <c r="V4" s="534"/>
      <c r="W4" s="534"/>
      <c r="X4" s="534"/>
      <c r="Y4" s="272"/>
      <c r="Z4" s="272"/>
    </row>
    <row r="5" spans="1:26" ht="15" customHeight="1">
      <c r="A5" s="299" t="s">
        <v>272</v>
      </c>
      <c r="B5" s="541">
        <v>46031</v>
      </c>
      <c r="C5" s="276"/>
      <c r="D5" s="729" t="s">
        <v>435</v>
      </c>
      <c r="K5" s="272"/>
      <c r="L5" s="272"/>
      <c r="M5" s="272"/>
      <c r="N5" s="276"/>
      <c r="O5" s="272"/>
      <c r="P5" s="276"/>
      <c r="Q5" s="540">
        <v>2024</v>
      </c>
      <c r="R5" s="531">
        <v>194516</v>
      </c>
      <c r="S5" s="531">
        <v>673464</v>
      </c>
      <c r="T5" s="531">
        <v>867980</v>
      </c>
      <c r="U5" s="534"/>
      <c r="V5" s="534"/>
      <c r="W5" s="534"/>
      <c r="X5" s="534"/>
      <c r="Y5" s="272"/>
      <c r="Z5" s="272"/>
    </row>
    <row r="6" spans="1:26" ht="15" customHeight="1">
      <c r="A6" s="299" t="s">
        <v>265</v>
      </c>
      <c r="B6" s="520" t="s">
        <v>296</v>
      </c>
      <c r="C6" s="276"/>
      <c r="D6" s="730">
        <f>B5+90</f>
        <v>46121</v>
      </c>
      <c r="K6" s="272"/>
      <c r="L6" s="272"/>
      <c r="M6" s="272"/>
      <c r="N6" s="276"/>
      <c r="O6" s="276"/>
      <c r="P6" s="276"/>
      <c r="Q6" s="540">
        <v>2023</v>
      </c>
      <c r="R6" s="531">
        <v>190702</v>
      </c>
      <c r="S6" s="531">
        <v>660259</v>
      </c>
      <c r="T6" s="531">
        <v>850961</v>
      </c>
      <c r="U6" s="534"/>
      <c r="V6" s="534"/>
      <c r="W6" s="534"/>
      <c r="X6" s="534"/>
      <c r="Y6" s="272"/>
      <c r="Z6" s="272"/>
    </row>
    <row r="7" spans="1:26" ht="15" customHeight="1">
      <c r="A7" s="299" t="s">
        <v>280</v>
      </c>
      <c r="B7" s="285">
        <v>677</v>
      </c>
      <c r="C7" s="276"/>
      <c r="K7" s="272"/>
      <c r="L7" s="272"/>
      <c r="M7" s="272"/>
      <c r="N7" s="276"/>
      <c r="O7" s="276"/>
      <c r="P7" s="276"/>
      <c r="Q7" s="535"/>
      <c r="R7" s="536"/>
      <c r="S7" s="535"/>
      <c r="T7" s="534"/>
      <c r="U7" s="534"/>
      <c r="V7" s="534"/>
      <c r="W7" s="534"/>
      <c r="X7" s="534"/>
      <c r="Y7" s="272"/>
      <c r="Z7" s="272"/>
    </row>
    <row r="8" spans="1:26" ht="15" customHeight="1">
      <c r="A8" s="826"/>
      <c r="B8" s="826"/>
      <c r="C8" s="276"/>
      <c r="K8" s="272"/>
      <c r="L8" s="272"/>
      <c r="M8" s="272"/>
      <c r="N8" s="276"/>
      <c r="O8" s="276"/>
      <c r="P8" s="276"/>
      <c r="Q8" s="272"/>
      <c r="R8" s="272"/>
      <c r="S8" s="272"/>
      <c r="T8" s="272"/>
    </row>
    <row r="9" spans="1:26" ht="15" customHeight="1">
      <c r="A9" s="833" t="str">
        <f>IF(J4=FALSE,"TRANSFER DETAILS","PERMIT DETAILS")</f>
        <v>TRANSFER DETAILS</v>
      </c>
      <c r="B9" s="833"/>
      <c r="C9" s="276"/>
      <c r="K9" s="272"/>
      <c r="L9" s="272"/>
      <c r="M9" s="272"/>
      <c r="N9" s="276"/>
      <c r="O9" s="276"/>
      <c r="P9" s="276"/>
      <c r="Q9" s="272"/>
      <c r="R9" s="272"/>
      <c r="S9" s="272"/>
      <c r="T9" s="272"/>
    </row>
    <row r="10" spans="1:26" ht="15" customHeight="1">
      <c r="A10" s="526" t="str">
        <f>IF(P3=TRUE, "PC Date", IF(J4=FALSE, "Date of Transfer", "Final Date"))</f>
        <v>Date of Transfer</v>
      </c>
      <c r="B10" s="527">
        <v>46031</v>
      </c>
      <c r="C10" s="276"/>
      <c r="K10" s="272"/>
      <c r="L10" s="840" t="s">
        <v>433</v>
      </c>
      <c r="M10" s="840"/>
      <c r="N10" s="840"/>
      <c r="O10" s="840"/>
      <c r="P10" s="840"/>
      <c r="Q10" s="840"/>
      <c r="R10" s="840"/>
      <c r="S10" s="272"/>
      <c r="T10" s="272"/>
    </row>
    <row r="11" spans="1:26" ht="15" hidden="1" customHeight="1">
      <c r="A11" s="526" t="s">
        <v>439</v>
      </c>
      <c r="B11" s="732"/>
      <c r="C11" s="276"/>
      <c r="D11" s="263"/>
      <c r="K11" s="272"/>
      <c r="L11" s="840"/>
      <c r="M11" s="840"/>
      <c r="N11" s="840"/>
      <c r="O11" s="840"/>
      <c r="P11" s="840"/>
      <c r="Q11" s="840"/>
      <c r="R11" s="840"/>
      <c r="S11" s="272"/>
      <c r="T11" s="272"/>
    </row>
    <row r="12" spans="1:26" s="528" customFormat="1" ht="15" customHeight="1">
      <c r="A12" s="518" t="str">
        <f>IF(J4=FALSE,"Transfer Document Number","Permit Number")</f>
        <v>Transfer Document Number</v>
      </c>
      <c r="B12" s="520" t="s">
        <v>546</v>
      </c>
      <c r="L12" s="840"/>
      <c r="M12" s="840"/>
      <c r="N12" s="840"/>
      <c r="O12" s="840"/>
      <c r="P12" s="840"/>
      <c r="Q12" s="840"/>
      <c r="R12" s="840"/>
    </row>
    <row r="13" spans="1:26" s="529" customFormat="1" ht="14.4">
      <c r="A13" s="519" t="str">
        <f>IF(J4=FALSE,"Ratio Code","Description")</f>
        <v>Ratio Code</v>
      </c>
      <c r="B13" s="521" t="s">
        <v>533</v>
      </c>
      <c r="L13" s="840"/>
      <c r="M13" s="840"/>
      <c r="N13" s="840"/>
      <c r="O13" s="840"/>
      <c r="P13" s="840"/>
      <c r="Q13" s="840"/>
      <c r="R13" s="840"/>
    </row>
    <row r="14" spans="1:26" ht="15" customHeight="1">
      <c r="A14" s="834"/>
      <c r="B14" s="834"/>
      <c r="C14" s="276"/>
      <c r="K14" s="272"/>
      <c r="L14" s="272"/>
      <c r="M14" s="272"/>
      <c r="N14" s="272"/>
      <c r="P14" s="251"/>
      <c r="Q14" s="251"/>
      <c r="T14" s="252"/>
    </row>
    <row r="15" spans="1:26" ht="15" hidden="1" customHeight="1">
      <c r="A15" s="833" t="s">
        <v>282</v>
      </c>
      <c r="B15" s="833"/>
      <c r="C15" s="276"/>
      <c r="K15" s="272"/>
      <c r="L15" s="272"/>
      <c r="M15" s="272"/>
      <c r="N15" s="272"/>
      <c r="P15" s="251"/>
      <c r="Q15" s="251"/>
      <c r="T15" s="22"/>
      <c r="U15" s="22"/>
    </row>
    <row r="16" spans="1:26" ht="14.4" hidden="1">
      <c r="A16" s="299" t="s">
        <v>269</v>
      </c>
      <c r="B16" s="285"/>
      <c r="C16" s="276"/>
      <c r="D16" s="276"/>
      <c r="E16" s="276"/>
      <c r="F16" s="276"/>
      <c r="G16" s="272"/>
      <c r="H16" s="272"/>
      <c r="I16" s="272"/>
      <c r="J16" s="272"/>
      <c r="K16" s="272"/>
      <c r="L16" s="272"/>
      <c r="M16" s="272"/>
      <c r="N16" s="272"/>
      <c r="Q16" s="251"/>
      <c r="T16" s="22"/>
      <c r="U16" s="22"/>
    </row>
    <row r="17" spans="1:25" ht="15" hidden="1" customHeight="1">
      <c r="A17" s="299" t="s">
        <v>270</v>
      </c>
      <c r="B17" s="287"/>
      <c r="C17" s="276"/>
      <c r="D17" s="276"/>
      <c r="E17" s="276"/>
      <c r="F17" s="276"/>
      <c r="G17" s="272"/>
      <c r="H17" s="272"/>
      <c r="I17" s="272"/>
      <c r="J17" s="272"/>
      <c r="K17" s="272"/>
      <c r="L17" s="272"/>
      <c r="M17" s="272"/>
      <c r="N17" s="272"/>
      <c r="Q17" s="251"/>
      <c r="T17" s="22"/>
      <c r="U17" s="22"/>
    </row>
    <row r="18" spans="1:25" ht="15" hidden="1" customHeight="1">
      <c r="A18" s="299" t="s">
        <v>276</v>
      </c>
      <c r="B18" s="285"/>
      <c r="C18" s="276"/>
      <c r="D18" s="276"/>
      <c r="E18" s="276"/>
      <c r="F18" s="276"/>
      <c r="G18" s="272"/>
      <c r="H18" s="272"/>
      <c r="I18" s="272"/>
      <c r="J18" s="272"/>
      <c r="K18" s="272"/>
      <c r="L18" s="272"/>
      <c r="M18" s="272"/>
      <c r="N18" s="272"/>
    </row>
    <row r="19" spans="1:25" ht="14.4" hidden="1">
      <c r="A19" s="299" t="s">
        <v>274</v>
      </c>
      <c r="B19" s="777"/>
      <c r="C19" s="276"/>
      <c r="D19" s="276"/>
      <c r="E19" s="272"/>
      <c r="F19" s="276"/>
      <c r="G19" s="272"/>
      <c r="H19" s="272"/>
      <c r="I19" s="272"/>
      <c r="J19" s="272"/>
      <c r="K19" s="272"/>
      <c r="L19" s="272"/>
      <c r="M19" s="272"/>
      <c r="N19" s="272"/>
      <c r="P19" s="254"/>
      <c r="T19" s="253"/>
      <c r="U19" s="242"/>
    </row>
    <row r="20" spans="1:25" ht="15" hidden="1" customHeight="1">
      <c r="A20" s="299" t="s">
        <v>273</v>
      </c>
      <c r="B20" s="285"/>
      <c r="C20" s="276"/>
      <c r="D20" s="276"/>
      <c r="E20" s="272"/>
      <c r="F20" s="276"/>
      <c r="G20" s="272"/>
      <c r="H20" s="272"/>
      <c r="I20" s="272"/>
      <c r="J20" s="272"/>
      <c r="K20" s="272"/>
      <c r="L20" s="272"/>
      <c r="M20" s="272"/>
      <c r="N20" s="272"/>
      <c r="P20" s="254"/>
      <c r="T20" s="253"/>
      <c r="U20" s="242"/>
    </row>
    <row r="21" spans="1:25" ht="15" hidden="1" customHeight="1">
      <c r="A21" s="299" t="s">
        <v>275</v>
      </c>
      <c r="B21" s="285"/>
      <c r="C21" s="272"/>
      <c r="D21" s="272"/>
      <c r="E21" s="272"/>
      <c r="F21" s="272"/>
      <c r="G21" s="272"/>
      <c r="H21" s="272"/>
      <c r="I21" s="272"/>
      <c r="J21" s="272"/>
      <c r="K21" s="272"/>
      <c r="L21" s="272"/>
      <c r="M21" s="272"/>
      <c r="N21" s="272"/>
      <c r="P21" s="254"/>
      <c r="Q21" s="247"/>
      <c r="T21" s="253"/>
      <c r="U21" s="242"/>
    </row>
    <row r="22" spans="1:25" ht="15" hidden="1" customHeight="1">
      <c r="A22" s="826"/>
      <c r="B22" s="826"/>
      <c r="C22" s="272"/>
      <c r="D22" s="272"/>
      <c r="E22" s="272"/>
      <c r="F22" s="272"/>
      <c r="G22" s="272"/>
      <c r="H22" s="272"/>
      <c r="I22" s="272"/>
      <c r="J22" s="272"/>
      <c r="K22" s="272"/>
      <c r="L22" s="272"/>
      <c r="M22" s="272"/>
      <c r="N22" s="272"/>
      <c r="P22" s="254"/>
      <c r="Q22" s="247"/>
      <c r="T22" s="253"/>
    </row>
    <row r="23" spans="1:25" ht="15" customHeight="1">
      <c r="A23" s="832" t="s">
        <v>0</v>
      </c>
      <c r="B23" s="832"/>
      <c r="C23" s="272"/>
      <c r="D23" s="272"/>
      <c r="E23" s="273"/>
      <c r="F23" s="272"/>
      <c r="G23" s="272"/>
      <c r="H23" s="273"/>
      <c r="I23" s="272"/>
      <c r="J23" s="272"/>
      <c r="K23" s="273"/>
      <c r="L23" s="272"/>
      <c r="M23" s="272"/>
      <c r="N23" s="272"/>
      <c r="P23" s="254"/>
      <c r="Q23" s="247"/>
      <c r="T23" s="253"/>
      <c r="Y23" s="253"/>
    </row>
    <row r="24" spans="1:25" ht="15" customHeight="1">
      <c r="A24" s="299" t="str">
        <f>IF(J4=FALSE,"Sale Price","Full Market")</f>
        <v>Sale Price</v>
      </c>
      <c r="B24" s="530">
        <v>3928960</v>
      </c>
      <c r="C24" s="272"/>
      <c r="D24" s="272"/>
      <c r="E24" s="279"/>
      <c r="F24" s="272"/>
      <c r="G24" s="272"/>
      <c r="H24" s="279"/>
      <c r="I24" s="272"/>
      <c r="J24" s="272"/>
      <c r="K24" s="279"/>
      <c r="L24" s="272"/>
      <c r="M24" s="272"/>
      <c r="N24" s="272"/>
      <c r="P24" s="254"/>
      <c r="Q24" s="247"/>
      <c r="S24" s="836"/>
      <c r="T24" s="836"/>
      <c r="U24" s="837"/>
      <c r="Y24" s="253"/>
    </row>
    <row r="25" spans="1:25" ht="15" hidden="1" customHeight="1">
      <c r="A25" s="299" t="str">
        <f>IF(J4=FALSE,"Current Roll Value","Market Structure")</f>
        <v>Current Roll Value</v>
      </c>
      <c r="B25" s="532"/>
      <c r="C25" s="275"/>
      <c r="D25" s="273"/>
      <c r="E25" s="271"/>
      <c r="F25" s="273"/>
      <c r="G25" s="273"/>
      <c r="H25" s="271"/>
      <c r="I25" s="273"/>
      <c r="J25" s="273"/>
      <c r="K25" s="271"/>
      <c r="L25" s="273"/>
      <c r="M25" s="273"/>
      <c r="N25" s="273"/>
      <c r="P25" s="254"/>
      <c r="Q25" s="23"/>
      <c r="S25" s="836"/>
      <c r="T25" s="836"/>
      <c r="U25" s="837"/>
      <c r="Y25" s="253"/>
    </row>
    <row r="26" spans="1:25" s="255" customFormat="1" ht="15" customHeight="1">
      <c r="A26" s="299" t="str">
        <f>IF(J2=TRUE,"Assessor's Opinion of Value","Total Posted")</f>
        <v>Total Posted</v>
      </c>
      <c r="B26" s="532">
        <v>3928960</v>
      </c>
      <c r="C26" s="284"/>
      <c r="D26" s="279"/>
      <c r="E26" s="271"/>
      <c r="F26" s="279"/>
      <c r="G26" s="279"/>
      <c r="H26" s="271"/>
      <c r="I26" s="279"/>
      <c r="J26" s="279"/>
      <c r="K26" s="271"/>
      <c r="L26" s="279"/>
      <c r="M26" s="279"/>
      <c r="N26" s="279"/>
      <c r="P26" s="254"/>
      <c r="Q26" s="22"/>
      <c r="S26" s="836"/>
      <c r="T26" s="836"/>
      <c r="U26" s="837"/>
      <c r="X26" s="838"/>
      <c r="Y26" s="839"/>
    </row>
    <row r="27" spans="1:25" ht="15" hidden="1" customHeight="1">
      <c r="A27" s="299" t="str">
        <f>IF(J2=TRUE,"Applicant's Opinion of Value","Cumulative Delta")</f>
        <v>Cumulative Delta</v>
      </c>
      <c r="B27" s="530"/>
      <c r="C27" s="275"/>
      <c r="D27" s="271"/>
      <c r="E27" s="257"/>
      <c r="F27" s="271"/>
      <c r="G27" s="271"/>
      <c r="H27" s="257"/>
      <c r="I27" s="271"/>
      <c r="J27" s="271"/>
      <c r="K27" s="257"/>
      <c r="L27" s="271"/>
      <c r="M27" s="271"/>
      <c r="N27" s="271"/>
      <c r="P27" s="254"/>
      <c r="Q27" s="23"/>
      <c r="S27" s="836"/>
      <c r="T27" s="836"/>
      <c r="U27" s="837"/>
      <c r="X27" s="839"/>
      <c r="Y27" s="839"/>
    </row>
    <row r="28" spans="1:25" ht="15" customHeight="1">
      <c r="A28" s="826" t="s">
        <v>442</v>
      </c>
      <c r="B28" s="826"/>
      <c r="C28" s="275"/>
      <c r="D28" s="271"/>
      <c r="E28" s="274"/>
      <c r="F28" s="271"/>
      <c r="G28" s="271"/>
      <c r="H28" s="274"/>
      <c r="I28" s="271"/>
      <c r="J28" s="271"/>
      <c r="K28" s="257"/>
      <c r="L28" s="271"/>
      <c r="M28" s="271"/>
      <c r="N28" s="271"/>
      <c r="P28" s="254"/>
      <c r="Q28" s="23"/>
      <c r="S28" s="836"/>
      <c r="T28" s="836"/>
      <c r="U28" s="837"/>
      <c r="Y28" s="253"/>
    </row>
    <row r="29" spans="1:25" ht="15" customHeight="1">
      <c r="A29" s="833" t="s">
        <v>109</v>
      </c>
      <c r="B29" s="833"/>
      <c r="C29" s="257"/>
      <c r="D29" s="257"/>
      <c r="E29" s="274"/>
      <c r="F29" s="257"/>
      <c r="G29" s="257"/>
      <c r="H29" s="274"/>
      <c r="I29" s="257"/>
      <c r="J29" s="257"/>
      <c r="K29" s="257"/>
      <c r="L29" s="257"/>
      <c r="M29" s="257"/>
      <c r="N29" s="257"/>
      <c r="P29" s="254"/>
      <c r="Q29" s="23"/>
      <c r="S29" s="836"/>
      <c r="T29" s="836"/>
      <c r="U29" s="837"/>
      <c r="Y29" s="253"/>
    </row>
    <row r="30" spans="1:25" ht="14.4">
      <c r="A30" s="300" t="s">
        <v>279</v>
      </c>
      <c r="B30" s="288">
        <v>107350009</v>
      </c>
      <c r="C30" s="257"/>
      <c r="D30" s="271" t="s">
        <v>432</v>
      </c>
      <c r="K30" s="276"/>
      <c r="L30" s="257"/>
      <c r="M30" s="257"/>
      <c r="N30" s="257"/>
      <c r="P30" s="254"/>
      <c r="Q30" s="23"/>
      <c r="T30" s="253"/>
      <c r="Y30" s="253"/>
    </row>
    <row r="31" spans="1:25" ht="14.4">
      <c r="A31" s="300" t="s">
        <v>92</v>
      </c>
      <c r="B31" s="288" t="s">
        <v>544</v>
      </c>
      <c r="C31" s="257"/>
      <c r="K31" s="276"/>
      <c r="L31" s="257"/>
      <c r="M31" s="257"/>
      <c r="N31" s="257"/>
      <c r="P31" s="254"/>
      <c r="Q31" s="23"/>
      <c r="T31" s="253"/>
      <c r="Y31" s="253"/>
    </row>
    <row r="32" spans="1:25" ht="15" customHeight="1">
      <c r="A32" s="300" t="s">
        <v>13</v>
      </c>
      <c r="B32" s="289" t="s">
        <v>443</v>
      </c>
      <c r="C32" s="276"/>
      <c r="K32" s="276"/>
      <c r="L32" s="276"/>
      <c r="M32" s="276"/>
      <c r="N32" s="276"/>
      <c r="P32" s="254"/>
      <c r="Q32" s="23"/>
      <c r="T32" s="253"/>
      <c r="Y32" s="253"/>
    </row>
    <row r="33" spans="1:25" ht="14.4">
      <c r="A33" s="300" t="s">
        <v>93</v>
      </c>
      <c r="B33" s="288" t="s">
        <v>545</v>
      </c>
      <c r="C33" s="276"/>
      <c r="K33" s="276"/>
      <c r="L33" s="276"/>
      <c r="M33" s="276"/>
      <c r="N33" s="276"/>
      <c r="P33" s="254"/>
      <c r="Q33" s="23"/>
      <c r="T33" s="253"/>
      <c r="Y33" s="253"/>
    </row>
    <row r="34" spans="1:25" ht="15" customHeight="1">
      <c r="A34" s="300" t="s">
        <v>94</v>
      </c>
      <c r="B34" s="290">
        <v>10490</v>
      </c>
      <c r="C34" s="276"/>
      <c r="D34" s="679"/>
      <c r="K34" s="276"/>
      <c r="L34" s="276"/>
      <c r="M34" s="276"/>
      <c r="N34" s="721"/>
      <c r="P34" s="253"/>
      <c r="Q34" s="23"/>
      <c r="T34" s="253"/>
      <c r="Y34" s="253"/>
    </row>
    <row r="35" spans="1:25" ht="15" customHeight="1">
      <c r="A35" s="300" t="s">
        <v>95</v>
      </c>
      <c r="B35" s="290">
        <v>10490</v>
      </c>
      <c r="D35" s="680"/>
      <c r="K35" s="280"/>
      <c r="L35" s="276"/>
      <c r="M35" s="276"/>
      <c r="N35" s="276"/>
      <c r="P35" s="253"/>
      <c r="Q35" s="23"/>
      <c r="T35" s="253"/>
    </row>
    <row r="36" spans="1:25" ht="15" customHeight="1">
      <c r="A36" s="300" t="s">
        <v>96</v>
      </c>
      <c r="B36" s="291">
        <v>2001</v>
      </c>
      <c r="K36" s="280"/>
      <c r="L36" s="276"/>
      <c r="M36" s="276"/>
      <c r="N36" s="276"/>
      <c r="P36" s="253"/>
      <c r="Q36" s="23"/>
    </row>
    <row r="37" spans="1:25" ht="15" customHeight="1">
      <c r="A37" s="300" t="s">
        <v>97</v>
      </c>
      <c r="B37" s="659">
        <f>IFERROR('Program Data'!K3-B36,0)</f>
        <v>25</v>
      </c>
      <c r="C37" s="275"/>
      <c r="L37" s="280"/>
      <c r="M37" s="280"/>
      <c r="N37" s="280"/>
      <c r="P37" s="253"/>
      <c r="Q37" s="23"/>
    </row>
    <row r="38" spans="1:25" ht="15" customHeight="1">
      <c r="A38" s="300" t="s">
        <v>98</v>
      </c>
      <c r="B38" s="292">
        <v>0.68</v>
      </c>
      <c r="C38" s="267"/>
      <c r="D38" s="681" t="str">
        <f>IF(INPUT!G3,"$/ACRE","$/SQ FT")</f>
        <v>$/SQ FT</v>
      </c>
      <c r="G38" s="743"/>
      <c r="L38" s="280"/>
      <c r="M38" s="280"/>
      <c r="N38" s="280"/>
      <c r="P38" s="253"/>
      <c r="Q38" s="23"/>
    </row>
    <row r="39" spans="1:25" ht="15" customHeight="1">
      <c r="A39" s="300" t="s">
        <v>23</v>
      </c>
      <c r="B39" s="289" t="s">
        <v>547</v>
      </c>
      <c r="D39" s="682">
        <f>IFERROR((IF((INPUT!G3),(B26/B38),(B26/B34))),"")</f>
        <v>374.54337464251671</v>
      </c>
      <c r="E39" s="276"/>
      <c r="F39" s="276"/>
      <c r="G39" s="272"/>
      <c r="H39" s="272"/>
      <c r="I39" s="272"/>
      <c r="J39" s="272"/>
      <c r="P39" s="253"/>
      <c r="Q39" s="23"/>
    </row>
    <row r="40" spans="1:25" ht="15" customHeight="1">
      <c r="A40" s="300" t="s">
        <v>67</v>
      </c>
      <c r="B40" s="678" t="s">
        <v>147</v>
      </c>
      <c r="E40" s="276"/>
      <c r="H40" s="276"/>
      <c r="K40" s="276"/>
      <c r="P40" s="254"/>
      <c r="Q40" s="23"/>
    </row>
    <row r="41" spans="1:25" ht="15" customHeight="1">
      <c r="A41" s="300" t="s">
        <v>15</v>
      </c>
      <c r="B41" s="289" t="s">
        <v>16</v>
      </c>
      <c r="E41" s="276"/>
      <c r="H41" s="276"/>
      <c r="K41" s="276"/>
      <c r="P41" s="254"/>
      <c r="Q41" s="23"/>
    </row>
    <row r="42" spans="1:25" ht="15" customHeight="1">
      <c r="A42" s="300" t="s">
        <v>99</v>
      </c>
      <c r="B42" s="289">
        <v>1</v>
      </c>
      <c r="C42" s="276"/>
      <c r="D42" s="276"/>
      <c r="E42" s="276"/>
      <c r="F42" s="276"/>
      <c r="G42" s="276"/>
      <c r="H42" s="276"/>
      <c r="I42" s="276"/>
      <c r="J42" s="276"/>
      <c r="K42" s="276"/>
      <c r="L42" s="275"/>
      <c r="M42" s="275"/>
      <c r="N42" s="275"/>
      <c r="P42" s="254"/>
      <c r="Q42" s="247"/>
    </row>
    <row r="43" spans="1:25" ht="27.6">
      <c r="A43" s="300" t="s">
        <v>100</v>
      </c>
      <c r="B43" s="288" t="s">
        <v>548</v>
      </c>
      <c r="C43" s="276"/>
      <c r="D43" s="276"/>
      <c r="E43" s="276"/>
      <c r="F43" s="276"/>
      <c r="G43" s="276"/>
      <c r="H43" s="276"/>
      <c r="I43" s="276"/>
      <c r="J43" s="276"/>
      <c r="K43" s="276"/>
      <c r="L43" s="276"/>
      <c r="M43" s="276"/>
      <c r="N43" s="276"/>
      <c r="P43" s="254"/>
      <c r="Q43" s="23"/>
    </row>
    <row r="44" spans="1:25" ht="15" customHeight="1">
      <c r="A44" s="300" t="s">
        <v>101</v>
      </c>
      <c r="B44" s="288" t="s">
        <v>545</v>
      </c>
      <c r="C44" s="276"/>
      <c r="D44" s="276"/>
      <c r="E44" s="277"/>
      <c r="F44" s="276"/>
      <c r="G44" s="276"/>
      <c r="H44" s="277"/>
      <c r="I44" s="276"/>
      <c r="J44" s="276"/>
      <c r="L44" s="276"/>
      <c r="M44" s="276"/>
      <c r="N44" s="276"/>
      <c r="P44" s="254"/>
      <c r="Q44" s="23"/>
    </row>
    <row r="45" spans="1:25" ht="15" customHeight="1">
      <c r="A45" s="300" t="s">
        <v>102</v>
      </c>
      <c r="B45" s="289" t="s">
        <v>483</v>
      </c>
      <c r="C45" s="276"/>
      <c r="D45" s="727" t="s">
        <v>434</v>
      </c>
      <c r="E45" s="277"/>
      <c r="F45" s="276"/>
      <c r="G45" s="276"/>
      <c r="H45" s="277"/>
      <c r="I45" s="276"/>
      <c r="J45" s="276"/>
      <c r="L45" s="276"/>
      <c r="M45" s="276"/>
      <c r="N45" s="276"/>
      <c r="P45" s="254"/>
      <c r="Q45" s="23"/>
    </row>
    <row r="46" spans="1:25" ht="15" customHeight="1">
      <c r="A46" s="300" t="s">
        <v>207</v>
      </c>
      <c r="B46" s="293">
        <v>1.5</v>
      </c>
      <c r="C46" s="242"/>
      <c r="D46" s="728">
        <f>CEA!AC30</f>
        <v>3245905.7142857141</v>
      </c>
      <c r="E46" s="231"/>
      <c r="F46" s="277"/>
      <c r="G46" s="277"/>
      <c r="H46" s="278"/>
      <c r="I46" s="277"/>
      <c r="K46" s="278"/>
      <c r="P46" s="254"/>
      <c r="Q46" s="23"/>
    </row>
    <row r="47" spans="1:25" ht="15" customHeight="1">
      <c r="A47" s="300" t="s">
        <v>103</v>
      </c>
      <c r="B47" s="294">
        <v>0.05</v>
      </c>
      <c r="C47" s="283"/>
      <c r="D47" s="277"/>
      <c r="F47" s="277"/>
      <c r="G47" s="277"/>
      <c r="I47" s="277"/>
      <c r="P47" s="247"/>
      <c r="Q47" s="22"/>
    </row>
    <row r="48" spans="1:25" ht="15" customHeight="1">
      <c r="A48" s="300" t="s">
        <v>104</v>
      </c>
      <c r="B48" s="294">
        <v>0.05</v>
      </c>
      <c r="C48" s="283"/>
      <c r="D48" s="231"/>
      <c r="F48" s="258"/>
      <c r="G48" s="278"/>
      <c r="I48" s="278"/>
      <c r="J48" s="278"/>
      <c r="L48" s="278"/>
      <c r="M48" s="278"/>
      <c r="N48" s="258"/>
      <c r="P48" s="247"/>
      <c r="Q48" s="23"/>
    </row>
    <row r="49" spans="1:24" ht="15" customHeight="1">
      <c r="A49" s="300" t="s">
        <v>105</v>
      </c>
      <c r="B49" s="295">
        <v>5.2499999999999998E-2</v>
      </c>
      <c r="P49" s="247"/>
      <c r="Q49" s="827"/>
      <c r="R49" s="828"/>
      <c r="S49" s="242"/>
    </row>
    <row r="50" spans="1:24" ht="15" customHeight="1">
      <c r="A50" s="300" t="s">
        <v>106</v>
      </c>
      <c r="B50" s="295"/>
      <c r="E50" s="258"/>
      <c r="H50" s="257"/>
      <c r="K50" s="257"/>
      <c r="P50" s="247"/>
      <c r="Q50" s="829"/>
      <c r="R50" s="830"/>
      <c r="S50" s="23"/>
    </row>
    <row r="51" spans="1:24" ht="15" customHeight="1">
      <c r="A51" s="300" t="s">
        <v>107</v>
      </c>
      <c r="B51" s="296">
        <f>B49+B50</f>
        <v>5.2499999999999998E-2</v>
      </c>
      <c r="E51" s="258"/>
      <c r="H51" s="258"/>
      <c r="K51" s="258"/>
      <c r="P51" s="247"/>
      <c r="Q51" s="829"/>
      <c r="R51" s="830"/>
      <c r="S51" s="23"/>
    </row>
    <row r="52" spans="1:24" ht="15" customHeight="1">
      <c r="A52" s="300" t="s">
        <v>108</v>
      </c>
      <c r="B52" s="291"/>
      <c r="C52" s="231"/>
      <c r="D52" s="258"/>
      <c r="E52" s="259"/>
      <c r="F52" s="258"/>
      <c r="G52" s="257"/>
      <c r="H52" s="257"/>
      <c r="I52" s="257"/>
      <c r="J52" s="257"/>
      <c r="K52" s="257"/>
      <c r="L52" s="257"/>
      <c r="M52" s="257"/>
      <c r="N52" s="257"/>
      <c r="P52" s="247"/>
      <c r="Q52" s="829"/>
      <c r="R52" s="830"/>
      <c r="S52" s="23"/>
    </row>
    <row r="53" spans="1:24" ht="15" customHeight="1">
      <c r="C53" s="231"/>
      <c r="D53" s="258"/>
      <c r="E53" s="275"/>
      <c r="F53" s="258"/>
      <c r="G53" s="258"/>
      <c r="H53" s="275"/>
      <c r="I53" s="258"/>
      <c r="J53" s="258"/>
      <c r="K53" s="275"/>
      <c r="L53" s="258"/>
      <c r="M53" s="258"/>
      <c r="N53" s="257"/>
      <c r="P53" s="247"/>
      <c r="Q53" s="829"/>
      <c r="R53" s="830"/>
      <c r="S53" s="23"/>
    </row>
    <row r="54" spans="1:24" ht="15" customHeight="1">
      <c r="A54" s="260"/>
      <c r="C54" s="264"/>
      <c r="D54" s="259"/>
      <c r="F54" s="257"/>
      <c r="G54" s="257"/>
      <c r="I54" s="257"/>
      <c r="J54" s="257"/>
      <c r="L54" s="257"/>
      <c r="M54" s="257"/>
      <c r="N54" s="257"/>
      <c r="P54" s="247"/>
      <c r="Q54" s="829"/>
      <c r="R54" s="830"/>
      <c r="S54" s="23"/>
      <c r="U54" s="831"/>
      <c r="V54" s="831"/>
      <c r="W54" s="831"/>
      <c r="X54" s="831"/>
    </row>
    <row r="55" spans="1:24" ht="15" customHeight="1">
      <c r="A55" s="261"/>
      <c r="C55" s="275"/>
      <c r="D55" s="275"/>
      <c r="E55" s="257"/>
      <c r="F55" s="275"/>
      <c r="G55" s="275"/>
      <c r="H55" s="257"/>
      <c r="I55" s="275"/>
      <c r="J55" s="275"/>
      <c r="K55" s="257"/>
      <c r="L55" s="275"/>
      <c r="M55" s="275"/>
      <c r="N55" s="275"/>
      <c r="P55" s="247"/>
      <c r="Q55" s="829"/>
      <c r="R55" s="830"/>
      <c r="S55" s="23"/>
      <c r="U55" s="831"/>
      <c r="V55" s="831"/>
      <c r="W55" s="831"/>
      <c r="X55" s="831"/>
    </row>
    <row r="56" spans="1:24" ht="15" customHeight="1">
      <c r="A56" s="261"/>
      <c r="B56" s="262"/>
      <c r="C56" s="267"/>
      <c r="E56" s="257"/>
      <c r="H56" s="257"/>
      <c r="K56" s="257"/>
      <c r="P56" s="247"/>
      <c r="Q56" s="829"/>
      <c r="R56" s="830"/>
      <c r="S56" s="23"/>
      <c r="U56" s="831"/>
      <c r="V56" s="831"/>
      <c r="W56" s="831"/>
      <c r="X56" s="831"/>
    </row>
    <row r="57" spans="1:24" ht="15" customHeight="1">
      <c r="C57" s="257"/>
      <c r="D57" s="257"/>
      <c r="E57" s="257"/>
      <c r="F57" s="257"/>
      <c r="G57" s="257"/>
      <c r="H57" s="257"/>
      <c r="I57" s="257"/>
      <c r="J57" s="257"/>
      <c r="K57" s="257"/>
      <c r="L57" s="257"/>
      <c r="M57" s="257"/>
      <c r="N57" s="257"/>
      <c r="P57" s="247"/>
      <c r="Q57" s="829"/>
      <c r="R57" s="830"/>
      <c r="S57" s="23"/>
      <c r="U57" s="831"/>
      <c r="V57" s="831"/>
      <c r="W57" s="831"/>
      <c r="X57" s="831"/>
    </row>
    <row r="58" spans="1:24" ht="15" customHeight="1">
      <c r="A58" s="260"/>
      <c r="C58" s="257"/>
      <c r="D58" s="257"/>
      <c r="E58" s="257"/>
      <c r="F58" s="257"/>
      <c r="G58" s="257"/>
      <c r="H58" s="257"/>
      <c r="I58" s="257"/>
      <c r="J58" s="257"/>
      <c r="K58" s="257"/>
      <c r="L58" s="257"/>
      <c r="M58" s="257"/>
      <c r="N58" s="257"/>
      <c r="P58" s="247"/>
      <c r="Q58" s="829"/>
      <c r="R58" s="830"/>
      <c r="S58" s="23"/>
      <c r="U58" s="831"/>
      <c r="V58" s="831"/>
      <c r="W58" s="831"/>
      <c r="X58" s="831"/>
    </row>
    <row r="59" spans="1:24" ht="15" customHeight="1">
      <c r="A59" s="261"/>
      <c r="B59" s="263"/>
      <c r="C59" s="257"/>
      <c r="D59" s="257"/>
      <c r="E59" s="257"/>
      <c r="F59" s="257"/>
      <c r="G59" s="257"/>
      <c r="H59" s="257"/>
      <c r="I59" s="257"/>
      <c r="J59" s="257"/>
      <c r="K59" s="257"/>
      <c r="L59" s="257"/>
      <c r="M59" s="257"/>
      <c r="N59" s="257"/>
      <c r="P59" s="247"/>
      <c r="Q59" s="829"/>
      <c r="R59" s="830"/>
      <c r="S59" s="23"/>
      <c r="U59" s="831"/>
      <c r="V59" s="831"/>
      <c r="W59" s="831"/>
      <c r="X59" s="831"/>
    </row>
    <row r="60" spans="1:24" ht="15" customHeight="1">
      <c r="A60" s="261"/>
      <c r="B60" s="265"/>
      <c r="C60" s="257"/>
      <c r="D60" s="257"/>
      <c r="E60" s="257"/>
      <c r="F60" s="257"/>
      <c r="G60" s="257"/>
      <c r="H60" s="257"/>
      <c r="I60" s="257"/>
      <c r="J60" s="257"/>
      <c r="K60" s="257"/>
      <c r="L60" s="257"/>
      <c r="M60" s="257"/>
      <c r="N60" s="257"/>
      <c r="P60" s="247"/>
      <c r="Q60" s="829"/>
      <c r="R60" s="830"/>
      <c r="S60" s="23"/>
      <c r="U60" s="831"/>
      <c r="V60" s="831"/>
      <c r="W60" s="831"/>
      <c r="X60" s="831"/>
    </row>
    <row r="61" spans="1:24" ht="15" customHeight="1">
      <c r="A61" s="261"/>
      <c r="B61" s="266"/>
      <c r="C61" s="257"/>
      <c r="D61" s="257"/>
      <c r="F61" s="257"/>
      <c r="G61" s="257"/>
      <c r="I61" s="257"/>
      <c r="J61" s="257"/>
      <c r="L61" s="257"/>
      <c r="M61" s="257"/>
      <c r="N61" s="257"/>
      <c r="P61" s="247"/>
      <c r="Q61" s="829"/>
      <c r="R61" s="830"/>
      <c r="S61" s="23"/>
      <c r="U61" s="831"/>
      <c r="V61" s="831"/>
      <c r="W61" s="831"/>
      <c r="X61" s="831"/>
    </row>
    <row r="62" spans="1:24" ht="15" customHeight="1">
      <c r="A62" s="261"/>
      <c r="C62" s="257"/>
      <c r="D62" s="257"/>
      <c r="F62" s="257"/>
      <c r="G62" s="257"/>
      <c r="I62" s="257"/>
      <c r="J62" s="257"/>
      <c r="L62" s="257"/>
      <c r="M62" s="257"/>
      <c r="N62" s="257"/>
      <c r="P62" s="247"/>
      <c r="Q62" s="829"/>
      <c r="R62" s="830"/>
      <c r="S62" s="23"/>
      <c r="U62" s="831"/>
      <c r="V62" s="831"/>
      <c r="W62" s="831"/>
      <c r="X62" s="831"/>
    </row>
    <row r="63" spans="1:24" ht="15" customHeight="1">
      <c r="P63" s="247"/>
      <c r="Q63" s="829"/>
      <c r="R63" s="830"/>
      <c r="S63" s="23"/>
      <c r="U63" s="831"/>
      <c r="V63" s="831"/>
      <c r="W63" s="831"/>
      <c r="X63" s="831"/>
    </row>
    <row r="64" spans="1:24" ht="15" customHeight="1">
      <c r="P64" s="247"/>
      <c r="Q64" s="829"/>
      <c r="R64" s="830"/>
      <c r="S64" s="23"/>
    </row>
    <row r="65" spans="16:19" ht="15" customHeight="1">
      <c r="P65" s="247"/>
      <c r="Q65" s="829"/>
      <c r="R65" s="830"/>
      <c r="S65" s="23"/>
    </row>
    <row r="66" spans="16:19" ht="15" customHeight="1">
      <c r="P66" s="247"/>
      <c r="Q66" s="829"/>
      <c r="R66" s="830"/>
      <c r="S66" s="23"/>
    </row>
    <row r="67" spans="16:19" ht="15" customHeight="1">
      <c r="P67" s="247"/>
      <c r="Q67" s="829"/>
      <c r="R67" s="830"/>
      <c r="S67" s="23"/>
    </row>
    <row r="68" spans="16:19" ht="15" customHeight="1">
      <c r="Q68" s="829"/>
      <c r="R68" s="830"/>
      <c r="S68" s="23"/>
    </row>
    <row r="69" spans="16:19" ht="15" customHeight="1">
      <c r="Q69" s="829"/>
      <c r="R69" s="830"/>
      <c r="S69" s="23"/>
    </row>
  </sheetData>
  <sheetProtection formatColumns="0" formatRows="0"/>
  <dataConsolidate link="1"/>
  <mergeCells count="35">
    <mergeCell ref="L10:R13"/>
    <mergeCell ref="Q68:R68"/>
    <mergeCell ref="Q67:R67"/>
    <mergeCell ref="Q55:R55"/>
    <mergeCell ref="Q56:R56"/>
    <mergeCell ref="Q69:R69"/>
    <mergeCell ref="Q65:R65"/>
    <mergeCell ref="Q66:R66"/>
    <mergeCell ref="S24:U29"/>
    <mergeCell ref="X26:Y27"/>
    <mergeCell ref="Q62:R62"/>
    <mergeCell ref="Q63:R63"/>
    <mergeCell ref="Q64:R64"/>
    <mergeCell ref="Q57:R57"/>
    <mergeCell ref="Q58:R58"/>
    <mergeCell ref="Q59:R59"/>
    <mergeCell ref="Q60:R60"/>
    <mergeCell ref="Q53:R53"/>
    <mergeCell ref="Q54:R54"/>
    <mergeCell ref="A2:B2"/>
    <mergeCell ref="A8:B8"/>
    <mergeCell ref="Q49:R49"/>
    <mergeCell ref="Q50:R50"/>
    <mergeCell ref="U54:X63"/>
    <mergeCell ref="A23:B23"/>
    <mergeCell ref="A29:B29"/>
    <mergeCell ref="A22:B22"/>
    <mergeCell ref="A28:B28"/>
    <mergeCell ref="A14:B14"/>
    <mergeCell ref="A3:B3"/>
    <mergeCell ref="A15:B15"/>
    <mergeCell ref="A9:B9"/>
    <mergeCell ref="Q51:R51"/>
    <mergeCell ref="Q52:R52"/>
    <mergeCell ref="Q61:R61"/>
  </mergeCells>
  <dataValidations count="2">
    <dataValidation type="list" allowBlank="1" showInputMessage="1" showErrorMessage="1" sqref="Q25:Q35 S50:S69" xr:uid="{01F21580-4877-4401-A36D-293CD8D57197}">
      <formula1>"1,2,3,4,5,6,7,8,9,10,11,12,13,14,15,16,17,18,19,20,21,22,23,24,25,26,27,28,29,30"</formula1>
    </dataValidation>
    <dataValidation type="whole" allowBlank="1" showInputMessage="1" showErrorMessage="1" sqref="B61" xr:uid="{D4BAB327-FC01-43AA-BD84-7E5193AFD399}">
      <formula1>1</formula1>
      <formula2>999999999</formula2>
    </dataValidation>
  </dataValidations>
  <pageMargins left="0.25" right="0.25" top="0.75" bottom="0.75" header="0.3" footer="0.3"/>
  <pageSetup orientation="portrait" horizontalDpi="4294967295" verticalDpi="4294967295" r:id="rId1"/>
  <ignoredErrors>
    <ignoredError sqref="D46 D6"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139" r:id="rId4" name="Button 43">
              <controlPr defaultSize="0" print="0" autoFill="0" autoPict="0" macro="[0]!CLRINPUT">
                <anchor moveWithCells="1" sizeWithCells="1">
                  <from>
                    <xdr:col>5</xdr:col>
                    <xdr:colOff>419100</xdr:colOff>
                    <xdr:row>27</xdr:row>
                    <xdr:rowOff>7620</xdr:rowOff>
                  </from>
                  <to>
                    <xdr:col>8</xdr:col>
                    <xdr:colOff>373380</xdr:colOff>
                    <xdr:row>28</xdr:row>
                    <xdr:rowOff>182880</xdr:rowOff>
                  </to>
                </anchor>
              </controlPr>
            </control>
          </mc:Choice>
        </mc:AlternateContent>
        <mc:AlternateContent xmlns:mc="http://schemas.openxmlformats.org/markup-compatibility/2006">
          <mc:Choice Requires="x14">
            <control shapeId="4109" r:id="rId5" name="Button 13">
              <controlPr defaultSize="0" print="0" autoFill="0" autoPict="0" macro="[0]!ClearCompsArrangeComps">
                <anchor moveWithCells="1" sizeWithCells="1">
                  <from>
                    <xdr:col>8</xdr:col>
                    <xdr:colOff>266700</xdr:colOff>
                    <xdr:row>5</xdr:row>
                    <xdr:rowOff>7620</xdr:rowOff>
                  </from>
                  <to>
                    <xdr:col>11</xdr:col>
                    <xdr:colOff>388620</xdr:colOff>
                    <xdr:row>7</xdr:row>
                    <xdr:rowOff>144780</xdr:rowOff>
                  </to>
                </anchor>
              </controlPr>
            </control>
          </mc:Choice>
        </mc:AlternateContent>
        <mc:AlternateContent xmlns:mc="http://schemas.openxmlformats.org/markup-compatibility/2006">
          <mc:Choice Requires="x14">
            <control shapeId="4136" r:id="rId6" name="Button 40">
              <controlPr defaultSize="0" print="0" autoFill="0" autoPict="0" macro="[0]!Run_Import_Then_Copycomps">
                <anchor moveWithCells="1" sizeWithCells="1">
                  <from>
                    <xdr:col>5</xdr:col>
                    <xdr:colOff>22860</xdr:colOff>
                    <xdr:row>5</xdr:row>
                    <xdr:rowOff>7620</xdr:rowOff>
                  </from>
                  <to>
                    <xdr:col>8</xdr:col>
                    <xdr:colOff>236220</xdr:colOff>
                    <xdr:row>7</xdr:row>
                    <xdr:rowOff>144780</xdr:rowOff>
                  </to>
                </anchor>
              </controlPr>
            </control>
          </mc:Choice>
        </mc:AlternateContent>
        <mc:AlternateContent xmlns:mc="http://schemas.openxmlformats.org/markup-compatibility/2006">
          <mc:Choice Requires="x14">
            <control shapeId="4137" r:id="rId7" name="Button 41">
              <controlPr defaultSize="0" print="0" autoFill="0" autoPict="0" macro="[0]!Clear_Pictures_On_Appraisal_Sheets">
                <anchor moveWithCells="1" sizeWithCells="1">
                  <from>
                    <xdr:col>11</xdr:col>
                    <xdr:colOff>411480</xdr:colOff>
                    <xdr:row>5</xdr:row>
                    <xdr:rowOff>7620</xdr:rowOff>
                  </from>
                  <to>
                    <xdr:col>14</xdr:col>
                    <xdr:colOff>579120</xdr:colOff>
                    <xdr:row>7</xdr:row>
                    <xdr:rowOff>144780</xdr:rowOff>
                  </to>
                </anchor>
              </controlPr>
            </control>
          </mc:Choice>
        </mc:AlternateContent>
        <mc:AlternateContent xmlns:mc="http://schemas.openxmlformats.org/markup-compatibility/2006">
          <mc:Choice Requires="x14">
            <control shapeId="4140" r:id="rId8" name="Button 44">
              <controlPr defaultSize="0" print="0" autoFill="0" autoPict="0" macro="[0]!Populate_SubjectInfo_From_RivCoView">
                <anchor moveWithCells="1" sizeWithCells="1">
                  <from>
                    <xdr:col>2</xdr:col>
                    <xdr:colOff>22860</xdr:colOff>
                    <xdr:row>27</xdr:row>
                    <xdr:rowOff>7620</xdr:rowOff>
                  </from>
                  <to>
                    <xdr:col>5</xdr:col>
                    <xdr:colOff>403860</xdr:colOff>
                    <xdr:row>28</xdr:row>
                    <xdr:rowOff>182880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97728E8-A933-439A-B13E-51258BF74536}">
          <x14:formula1>
            <xm:f>'Program Data'!$H$2</xm:f>
          </x14:formula1>
          <xm:sqref>U22:U23 Q36:Q46</xm:sqref>
        </x14:dataValidation>
        <x14:dataValidation type="list" allowBlank="1" showInputMessage="1" showErrorMessage="1" xr:uid="{BA5C8380-9020-4655-A18C-3C622A61668F}">
          <x14:formula1>
            <xm:f>'Program Data'!$J$1:$J$25</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0981C-2CF6-4895-99EC-A80C9A02FBF7}">
  <sheetPr codeName="Sheet5"/>
  <dimension ref="A1:K73"/>
  <sheetViews>
    <sheetView view="pageLayout" zoomScaleNormal="130" workbookViewId="0"/>
  </sheetViews>
  <sheetFormatPr defaultRowHeight="14.4"/>
  <cols>
    <col min="1" max="1" width="39.33203125" customWidth="1"/>
    <col min="2" max="2" width="12.5546875" customWidth="1"/>
    <col min="3" max="3" width="10.5546875" bestFit="1" customWidth="1"/>
  </cols>
  <sheetData>
    <row r="1" spans="1:11" ht="15.6">
      <c r="A1" s="663" t="s">
        <v>388</v>
      </c>
      <c r="B1" s="34">
        <f>INPUT!B16</f>
        <v>0</v>
      </c>
      <c r="C1" s="34"/>
      <c r="D1" s="34"/>
      <c r="E1" s="34"/>
      <c r="F1" s="34"/>
      <c r="G1" s="34"/>
    </row>
    <row r="2" spans="1:11" ht="15.6">
      <c r="A2" s="663" t="s">
        <v>389</v>
      </c>
      <c r="B2" s="658">
        <f>INPUT!B30</f>
        <v>107350009</v>
      </c>
      <c r="C2" s="34"/>
      <c r="D2" s="34"/>
      <c r="E2" s="34"/>
      <c r="F2" s="34"/>
      <c r="G2" s="34"/>
    </row>
    <row r="3" spans="1:11" ht="15.6">
      <c r="A3" s="663" t="s">
        <v>390</v>
      </c>
      <c r="B3" s="34" t="str">
        <f>INPUT!L2</f>
        <v>Prop 8</v>
      </c>
      <c r="C3" s="34"/>
      <c r="D3" s="34"/>
      <c r="E3" s="34"/>
      <c r="F3" s="34"/>
      <c r="G3" s="34"/>
    </row>
    <row r="4" spans="1:11" ht="15.6">
      <c r="A4" s="663" t="s">
        <v>391</v>
      </c>
      <c r="B4" s="662">
        <f>INPUT!B5</f>
        <v>46031</v>
      </c>
      <c r="C4" s="34"/>
      <c r="D4" s="34"/>
      <c r="E4" s="34"/>
      <c r="F4" s="34"/>
      <c r="G4" s="34"/>
    </row>
    <row r="5" spans="1:11" ht="15.6">
      <c r="A5" s="34"/>
      <c r="B5" s="34"/>
      <c r="C5" s="34"/>
      <c r="D5" s="34"/>
      <c r="E5" s="34"/>
      <c r="F5" s="34"/>
      <c r="G5" s="34"/>
    </row>
    <row r="6" spans="1:11" ht="15.6">
      <c r="A6" s="663" t="s">
        <v>392</v>
      </c>
      <c r="B6" s="34"/>
      <c r="C6" s="34"/>
      <c r="D6" s="34"/>
      <c r="E6" s="34"/>
      <c r="F6" s="34"/>
      <c r="G6" s="34"/>
    </row>
    <row r="7" spans="1:11" ht="15.6">
      <c r="A7" s="664" t="s">
        <v>393</v>
      </c>
      <c r="B7" s="658">
        <f>B2</f>
        <v>107350009</v>
      </c>
      <c r="C7" s="34"/>
      <c r="D7" s="34"/>
      <c r="E7" s="34"/>
      <c r="F7" s="34"/>
      <c r="G7" s="34"/>
    </row>
    <row r="8" spans="1:11" ht="15.6">
      <c r="A8" s="664" t="s">
        <v>394</v>
      </c>
      <c r="B8" s="658" t="str">
        <f>INPUT!B33</f>
        <v>Light Industrial</v>
      </c>
      <c r="C8" s="34"/>
      <c r="D8" s="34"/>
      <c r="E8" s="34"/>
      <c r="F8" s="34"/>
      <c r="G8" s="34"/>
    </row>
    <row r="9" spans="1:11" ht="15.6">
      <c r="A9" s="664" t="s">
        <v>419</v>
      </c>
      <c r="B9" s="665">
        <f>INPUT!B34</f>
        <v>10490</v>
      </c>
      <c r="C9" s="34"/>
      <c r="D9" s="34"/>
      <c r="E9" s="34"/>
      <c r="F9" s="34"/>
      <c r="G9" s="34"/>
    </row>
    <row r="10" spans="1:11" ht="15.6">
      <c r="A10" s="664" t="s">
        <v>395</v>
      </c>
      <c r="B10" s="34" t="str">
        <f>INPUT!B31&amp;", "&amp;INPUT!B32</f>
        <v>1215 GRAPHITE DR, CORONA</v>
      </c>
      <c r="C10" s="34"/>
      <c r="D10" s="34"/>
      <c r="E10" s="34"/>
      <c r="F10" s="34"/>
      <c r="G10" s="34"/>
    </row>
    <row r="11" spans="1:11" ht="15.6">
      <c r="A11" s="666" t="s">
        <v>396</v>
      </c>
      <c r="B11" s="34"/>
      <c r="C11" s="34"/>
      <c r="D11" s="34"/>
      <c r="E11" s="34"/>
      <c r="F11" s="34"/>
      <c r="G11" s="34"/>
    </row>
    <row r="12" spans="1:11" ht="45" customHeight="1">
      <c r="A12" s="841"/>
      <c r="B12" s="841"/>
      <c r="C12" s="841"/>
      <c r="D12" s="841"/>
      <c r="E12" s="841"/>
      <c r="F12" s="841"/>
      <c r="G12" s="841"/>
      <c r="H12" s="667"/>
      <c r="I12" s="667"/>
      <c r="K12" s="397"/>
    </row>
    <row r="13" spans="1:11" ht="15.6">
      <c r="A13" s="668"/>
      <c r="B13" s="668"/>
      <c r="C13" s="668"/>
      <c r="D13" s="668"/>
      <c r="E13" s="668"/>
      <c r="F13" s="668"/>
      <c r="G13" s="668"/>
      <c r="H13" s="667"/>
      <c r="I13" s="667"/>
      <c r="K13" s="397"/>
    </row>
    <row r="14" spans="1:11" ht="15.6">
      <c r="A14" s="663" t="s">
        <v>397</v>
      </c>
      <c r="B14" s="664"/>
      <c r="C14" s="34"/>
      <c r="D14" s="34"/>
      <c r="E14" s="34"/>
      <c r="F14" s="34"/>
      <c r="G14" s="34"/>
    </row>
    <row r="15" spans="1:11" ht="15.6">
      <c r="A15" s="658" t="s">
        <v>424</v>
      </c>
      <c r="B15" s="34"/>
      <c r="C15" s="658"/>
      <c r="D15" s="34"/>
      <c r="E15" s="34"/>
      <c r="F15" s="34"/>
      <c r="G15" s="34"/>
    </row>
    <row r="16" spans="1:11" ht="15.6">
      <c r="A16" s="666" t="s">
        <v>396</v>
      </c>
      <c r="B16" s="34"/>
      <c r="C16" s="34"/>
      <c r="D16" s="34"/>
      <c r="E16" s="34"/>
      <c r="F16" s="34"/>
      <c r="G16" s="34"/>
    </row>
    <row r="17" spans="1:11" ht="45" customHeight="1">
      <c r="A17" s="842"/>
      <c r="B17" s="842"/>
      <c r="C17" s="842"/>
      <c r="D17" s="842"/>
      <c r="E17" s="842"/>
      <c r="F17" s="842"/>
      <c r="G17" s="842"/>
      <c r="H17" s="667"/>
      <c r="I17" s="667"/>
      <c r="K17" s="397"/>
    </row>
    <row r="18" spans="1:11" ht="15.6">
      <c r="A18" s="668"/>
      <c r="B18" s="668"/>
      <c r="C18" s="668"/>
      <c r="D18" s="668"/>
      <c r="E18" s="668"/>
      <c r="F18" s="668"/>
      <c r="G18" s="668"/>
      <c r="H18" s="667"/>
      <c r="I18" s="667"/>
      <c r="K18" s="397"/>
    </row>
    <row r="19" spans="1:11" ht="15.6">
      <c r="A19" s="669" t="s">
        <v>398</v>
      </c>
      <c r="B19" s="34"/>
      <c r="C19" s="658"/>
      <c r="D19" s="34"/>
      <c r="E19" s="34"/>
      <c r="F19" s="34"/>
      <c r="G19" s="34"/>
    </row>
    <row r="20" spans="1:11" ht="15.6">
      <c r="A20" s="675">
        <f>INPUT!B26</f>
        <v>3928960</v>
      </c>
      <c r="B20" s="674">
        <f>A20/B9</f>
        <v>374.54337464251671</v>
      </c>
      <c r="C20" s="658" t="s">
        <v>399</v>
      </c>
      <c r="D20" s="34"/>
      <c r="E20" s="34"/>
      <c r="F20" s="34"/>
      <c r="G20" s="34"/>
    </row>
    <row r="21" spans="1:11" ht="15.6">
      <c r="A21" s="34"/>
      <c r="B21" s="664"/>
      <c r="C21" s="658"/>
      <c r="D21" s="34"/>
      <c r="E21" s="34"/>
      <c r="F21" s="34"/>
      <c r="G21" s="34"/>
    </row>
    <row r="22" spans="1:11" ht="15.6">
      <c r="A22" s="663" t="s">
        <v>400</v>
      </c>
      <c r="B22" s="664"/>
      <c r="C22" s="658"/>
      <c r="D22" s="34"/>
      <c r="E22" s="34"/>
      <c r="F22" s="34"/>
      <c r="G22" s="34"/>
    </row>
    <row r="23" spans="1:11" ht="15.6">
      <c r="A23" s="675">
        <f>INPUT!B25</f>
        <v>0</v>
      </c>
      <c r="B23" s="674">
        <f>A23/B9</f>
        <v>0</v>
      </c>
      <c r="C23" s="658" t="s">
        <v>399</v>
      </c>
      <c r="D23" s="34"/>
      <c r="E23" s="34"/>
      <c r="F23" s="34"/>
      <c r="G23" s="34"/>
    </row>
    <row r="24" spans="1:11" ht="15.6">
      <c r="A24" s="34"/>
      <c r="B24" s="664"/>
      <c r="C24" s="658"/>
      <c r="D24" s="34"/>
      <c r="E24" s="34"/>
      <c r="F24" s="34"/>
      <c r="G24" s="34"/>
    </row>
    <row r="25" spans="1:11" ht="15.6">
      <c r="A25" s="663" t="s">
        <v>401</v>
      </c>
      <c r="B25" s="664"/>
      <c r="C25" s="658"/>
      <c r="D25" s="34"/>
      <c r="E25" s="34"/>
      <c r="F25" s="34"/>
      <c r="G25" s="34"/>
    </row>
    <row r="26" spans="1:11" ht="15.6">
      <c r="A26" s="675">
        <f>INPUT!B27</f>
        <v>0</v>
      </c>
      <c r="B26" s="674">
        <f>A26/B9</f>
        <v>0</v>
      </c>
      <c r="C26" s="658" t="s">
        <v>399</v>
      </c>
      <c r="D26" s="34"/>
      <c r="E26" s="34"/>
      <c r="F26" s="34"/>
      <c r="G26" s="34"/>
    </row>
    <row r="27" spans="1:11" ht="15.6">
      <c r="A27" s="665"/>
      <c r="B27" s="34"/>
      <c r="C27" s="658"/>
      <c r="D27" s="34"/>
      <c r="E27" s="34"/>
      <c r="F27" s="34"/>
      <c r="G27" s="34"/>
    </row>
    <row r="28" spans="1:11" ht="15.6">
      <c r="A28" s="34"/>
      <c r="B28" s="34"/>
      <c r="C28" s="658"/>
      <c r="D28" s="34"/>
      <c r="E28" s="34"/>
      <c r="F28" s="34"/>
      <c r="G28" s="34"/>
    </row>
    <row r="29" spans="1:11" ht="15.6">
      <c r="A29" s="663" t="s">
        <v>402</v>
      </c>
      <c r="B29" s="34"/>
      <c r="C29" s="658"/>
      <c r="D29" s="34"/>
      <c r="E29" s="34"/>
      <c r="F29" s="34"/>
      <c r="G29" s="34"/>
    </row>
    <row r="30" spans="1:11" ht="15.6">
      <c r="A30" s="664" t="s">
        <v>403</v>
      </c>
      <c r="B30" s="673" t="s">
        <v>420</v>
      </c>
      <c r="C30" s="658"/>
      <c r="D30" s="34"/>
      <c r="E30" s="34"/>
      <c r="F30" s="34"/>
      <c r="G30" s="34"/>
    </row>
    <row r="31" spans="1:11" ht="15.6">
      <c r="A31" s="664" t="s">
        <v>404</v>
      </c>
      <c r="B31" s="673" t="s">
        <v>420</v>
      </c>
      <c r="C31" s="658"/>
      <c r="D31" s="34"/>
      <c r="E31" s="34"/>
      <c r="F31" s="34"/>
      <c r="G31" s="34"/>
    </row>
    <row r="32" spans="1:11" ht="15.6">
      <c r="A32" s="664" t="s">
        <v>405</v>
      </c>
      <c r="B32" s="662">
        <v>44560</v>
      </c>
      <c r="C32" s="658"/>
      <c r="D32" s="34"/>
      <c r="E32" s="34"/>
      <c r="F32" s="34"/>
      <c r="G32" s="34"/>
    </row>
    <row r="33" spans="1:11" ht="15.6">
      <c r="A33" s="670" t="s">
        <v>406</v>
      </c>
      <c r="B33" s="665">
        <v>23445000</v>
      </c>
      <c r="C33" s="671">
        <f>B33/B9</f>
        <v>2234.9857006673024</v>
      </c>
      <c r="D33" s="34" t="s">
        <v>399</v>
      </c>
      <c r="E33" s="34"/>
      <c r="F33" s="34"/>
      <c r="G33" s="34"/>
    </row>
    <row r="34" spans="1:11" ht="15.6">
      <c r="A34" s="670" t="s">
        <v>407</v>
      </c>
      <c r="B34" s="665">
        <v>23445000</v>
      </c>
      <c r="C34" s="671">
        <f>B34/B9</f>
        <v>2234.9857006673024</v>
      </c>
      <c r="D34" s="34" t="s">
        <v>399</v>
      </c>
      <c r="E34" s="34"/>
      <c r="F34" s="34"/>
      <c r="G34" s="34"/>
    </row>
    <row r="35" spans="1:11" ht="15.6">
      <c r="A35" s="670" t="s">
        <v>397</v>
      </c>
      <c r="B35" s="658" t="s">
        <v>424</v>
      </c>
      <c r="C35" s="34"/>
      <c r="D35" s="34"/>
      <c r="E35" s="34"/>
      <c r="F35" s="34"/>
      <c r="G35" s="34"/>
    </row>
    <row r="36" spans="1:11" ht="15.6">
      <c r="A36" s="666" t="s">
        <v>396</v>
      </c>
      <c r="B36" s="34"/>
      <c r="C36" s="34"/>
      <c r="D36" s="34"/>
      <c r="E36" s="34"/>
      <c r="F36" s="34"/>
      <c r="G36" s="34"/>
    </row>
    <row r="37" spans="1:11" ht="45" customHeight="1">
      <c r="A37" s="842"/>
      <c r="B37" s="842"/>
      <c r="C37" s="842"/>
      <c r="D37" s="842"/>
      <c r="E37" s="842"/>
      <c r="F37" s="842"/>
      <c r="G37" s="842"/>
      <c r="H37" s="667"/>
      <c r="I37" s="667"/>
      <c r="K37" s="397"/>
    </row>
    <row r="38" spans="1:11" ht="15.6">
      <c r="A38" s="668"/>
      <c r="B38" s="668"/>
      <c r="C38" s="668"/>
      <c r="D38" s="668"/>
      <c r="E38" s="668"/>
      <c r="F38" s="668"/>
      <c r="G38" s="668"/>
      <c r="H38" s="667"/>
      <c r="I38" s="667"/>
      <c r="K38" s="397"/>
    </row>
    <row r="39" spans="1:11" ht="15.6">
      <c r="A39" s="663" t="s">
        <v>408</v>
      </c>
      <c r="B39" s="34"/>
      <c r="C39" s="658"/>
      <c r="D39" s="34"/>
      <c r="E39" s="34"/>
      <c r="F39" s="34"/>
      <c r="G39" s="34"/>
    </row>
    <row r="40" spans="1:11" ht="15.6">
      <c r="A40" s="664" t="s">
        <v>409</v>
      </c>
      <c r="B40" s="658" t="s">
        <v>421</v>
      </c>
      <c r="C40" s="658"/>
      <c r="D40" s="34"/>
      <c r="E40" s="34"/>
      <c r="F40" s="34"/>
      <c r="G40" s="34"/>
    </row>
    <row r="41" spans="1:11" ht="15.6">
      <c r="A41" s="664" t="s">
        <v>404</v>
      </c>
      <c r="B41" s="658"/>
      <c r="C41" s="658"/>
      <c r="D41" s="34"/>
      <c r="E41" s="34"/>
      <c r="F41" s="34"/>
      <c r="G41" s="34"/>
    </row>
    <row r="42" spans="1:11" ht="15.6">
      <c r="A42" s="664" t="s">
        <v>405</v>
      </c>
      <c r="B42" s="662"/>
      <c r="C42" s="658"/>
      <c r="D42" s="34"/>
      <c r="E42" s="34"/>
      <c r="F42" s="34"/>
      <c r="G42" s="34"/>
    </row>
    <row r="43" spans="1:11" ht="15.6">
      <c r="A43" s="670" t="s">
        <v>406</v>
      </c>
      <c r="B43" s="665"/>
      <c r="C43" s="672">
        <f>B43/B9</f>
        <v>0</v>
      </c>
      <c r="D43" s="34" t="s">
        <v>399</v>
      </c>
      <c r="E43" s="34"/>
      <c r="F43" s="34"/>
      <c r="G43" s="34"/>
    </row>
    <row r="44" spans="1:11" ht="15.6">
      <c r="A44" s="670" t="s">
        <v>407</v>
      </c>
      <c r="B44" s="665"/>
      <c r="C44" s="34"/>
      <c r="D44" s="34"/>
      <c r="E44" s="34"/>
      <c r="F44" s="34"/>
      <c r="G44" s="34"/>
    </row>
    <row r="45" spans="1:11" ht="15.6">
      <c r="A45" s="670" t="s">
        <v>397</v>
      </c>
      <c r="B45" s="662"/>
      <c r="C45" s="34"/>
      <c r="D45" s="34"/>
      <c r="E45" s="34"/>
      <c r="F45" s="34"/>
      <c r="G45" s="34"/>
    </row>
    <row r="46" spans="1:11" ht="15.6">
      <c r="A46" s="666" t="s">
        <v>396</v>
      </c>
      <c r="B46" s="658"/>
      <c r="C46" s="34"/>
      <c r="D46" s="34"/>
      <c r="E46" s="34"/>
      <c r="F46" s="34"/>
      <c r="G46" s="34"/>
    </row>
    <row r="47" spans="1:11" ht="45" customHeight="1">
      <c r="A47" s="841"/>
      <c r="B47" s="841"/>
      <c r="C47" s="841"/>
      <c r="D47" s="841"/>
      <c r="E47" s="841"/>
      <c r="F47" s="841"/>
      <c r="G47" s="841"/>
      <c r="H47" s="667"/>
      <c r="I47" s="667"/>
      <c r="K47" s="397"/>
    </row>
    <row r="48" spans="1:11" ht="15.6">
      <c r="A48" s="668"/>
      <c r="B48" s="668"/>
      <c r="C48" s="668"/>
      <c r="D48" s="668"/>
      <c r="E48" s="668"/>
      <c r="F48" s="668"/>
      <c r="G48" s="668"/>
      <c r="H48" s="667"/>
      <c r="I48" s="667"/>
      <c r="K48" s="397"/>
    </row>
    <row r="49" spans="1:11" ht="15.6">
      <c r="A49" s="668"/>
      <c r="B49" s="668"/>
      <c r="C49" s="668"/>
      <c r="D49" s="668"/>
      <c r="E49" s="668"/>
      <c r="F49" s="668"/>
      <c r="G49" s="668"/>
      <c r="H49" s="667"/>
      <c r="I49" s="667"/>
      <c r="K49" s="397"/>
    </row>
    <row r="50" spans="1:11" ht="15.6">
      <c r="A50" s="663" t="s">
        <v>410</v>
      </c>
      <c r="B50" s="658"/>
      <c r="C50" s="658"/>
      <c r="D50" s="34"/>
      <c r="E50" s="34"/>
      <c r="F50" s="34"/>
      <c r="G50" s="34"/>
    </row>
    <row r="51" spans="1:11" ht="15.6">
      <c r="A51" s="670" t="s">
        <v>411</v>
      </c>
      <c r="B51" s="658" t="s">
        <v>421</v>
      </c>
      <c r="C51" s="658"/>
      <c r="D51" s="34"/>
      <c r="E51" s="34"/>
      <c r="F51" s="34"/>
      <c r="G51" s="34"/>
    </row>
    <row r="52" spans="1:11" ht="15.6">
      <c r="A52" s="670" t="s">
        <v>412</v>
      </c>
      <c r="B52" s="658" t="s">
        <v>374</v>
      </c>
      <c r="C52" s="658"/>
      <c r="D52" s="34"/>
      <c r="E52" s="34"/>
      <c r="F52" s="34"/>
      <c r="G52" s="34"/>
    </row>
    <row r="53" spans="1:11" ht="15.6">
      <c r="A53" s="664" t="s">
        <v>413</v>
      </c>
      <c r="B53" s="658" t="s">
        <v>421</v>
      </c>
      <c r="C53" s="673"/>
      <c r="D53" s="673"/>
      <c r="E53" s="34"/>
      <c r="F53" s="34"/>
      <c r="G53" s="34"/>
    </row>
    <row r="54" spans="1:11" ht="15.6">
      <c r="A54" s="670" t="s">
        <v>414</v>
      </c>
      <c r="B54" s="658" t="s">
        <v>374</v>
      </c>
      <c r="C54" s="664"/>
      <c r="D54" s="34"/>
      <c r="E54" s="34"/>
      <c r="F54" s="34"/>
      <c r="G54" s="34"/>
    </row>
    <row r="55" spans="1:11" ht="15.6">
      <c r="A55" s="666" t="s">
        <v>396</v>
      </c>
      <c r="B55" s="658"/>
      <c r="C55" s="34"/>
      <c r="D55" s="34"/>
      <c r="E55" s="34"/>
      <c r="F55" s="34"/>
      <c r="G55" s="34"/>
    </row>
    <row r="56" spans="1:11" ht="45" customHeight="1">
      <c r="A56" s="841"/>
      <c r="B56" s="841"/>
      <c r="C56" s="841"/>
      <c r="D56" s="841"/>
      <c r="E56" s="841"/>
      <c r="F56" s="841"/>
      <c r="G56" s="841"/>
      <c r="H56" s="667"/>
      <c r="I56" s="667"/>
      <c r="K56" s="397"/>
    </row>
    <row r="57" spans="1:11" ht="15.6">
      <c r="A57" s="34"/>
      <c r="B57" s="34"/>
      <c r="C57" s="658"/>
      <c r="D57" s="34"/>
      <c r="E57" s="34"/>
      <c r="F57" s="34"/>
      <c r="G57" s="34"/>
    </row>
    <row r="58" spans="1:11" ht="15.6">
      <c r="A58" s="663" t="s">
        <v>415</v>
      </c>
      <c r="B58" s="34"/>
      <c r="C58" s="658"/>
      <c r="D58" s="34"/>
      <c r="E58" s="34"/>
      <c r="F58" s="34"/>
      <c r="G58" s="34"/>
    </row>
    <row r="59" spans="1:11" ht="15.6">
      <c r="A59" s="34" t="s">
        <v>420</v>
      </c>
      <c r="B59" s="34"/>
      <c r="C59" s="658"/>
      <c r="D59" s="34"/>
      <c r="E59" s="34"/>
      <c r="F59" s="34"/>
      <c r="G59" s="34"/>
    </row>
    <row r="60" spans="1:11" ht="15.6">
      <c r="A60" s="34"/>
      <c r="B60" s="34"/>
      <c r="C60" s="658"/>
      <c r="D60" s="34"/>
      <c r="E60" s="34"/>
      <c r="F60" s="34"/>
      <c r="G60" s="34"/>
    </row>
    <row r="61" spans="1:11" ht="15.6">
      <c r="A61" s="663" t="s">
        <v>416</v>
      </c>
      <c r="B61" s="34"/>
      <c r="C61" s="658"/>
      <c r="D61" s="34"/>
      <c r="E61" s="34"/>
      <c r="F61" s="34"/>
      <c r="G61" s="34"/>
    </row>
    <row r="62" spans="1:11" ht="15.6">
      <c r="A62" s="676">
        <v>16672000</v>
      </c>
      <c r="B62" s="658"/>
      <c r="C62" s="658"/>
      <c r="D62" s="34"/>
      <c r="E62" s="34"/>
      <c r="F62" s="34"/>
      <c r="G62" s="34"/>
    </row>
    <row r="63" spans="1:11" ht="15.6">
      <c r="A63" s="666" t="s">
        <v>396</v>
      </c>
      <c r="B63" s="658"/>
      <c r="C63" s="34"/>
      <c r="D63" s="34"/>
      <c r="E63" s="34"/>
      <c r="F63" s="34"/>
      <c r="G63" s="34"/>
    </row>
    <row r="64" spans="1:11" ht="45" customHeight="1">
      <c r="A64" s="841" t="s">
        <v>422</v>
      </c>
      <c r="B64" s="841"/>
      <c r="C64" s="841"/>
      <c r="D64" s="841"/>
      <c r="E64" s="841"/>
      <c r="F64" s="841"/>
      <c r="G64" s="841"/>
      <c r="H64" s="667"/>
      <c r="I64" s="667"/>
      <c r="K64" s="397"/>
    </row>
    <row r="65" spans="1:11" ht="15.6">
      <c r="A65" s="34"/>
      <c r="B65" s="34"/>
      <c r="C65" s="34"/>
      <c r="D65" s="34"/>
      <c r="E65" s="34"/>
      <c r="F65" s="34"/>
      <c r="G65" s="34"/>
    </row>
    <row r="66" spans="1:11" ht="15.6">
      <c r="A66" s="663" t="s">
        <v>417</v>
      </c>
      <c r="B66" s="34"/>
      <c r="C66" s="34"/>
      <c r="D66" s="34"/>
      <c r="E66" s="34"/>
      <c r="F66" s="34"/>
      <c r="G66" s="34"/>
    </row>
    <row r="67" spans="1:11" ht="15.6">
      <c r="A67" s="666" t="s">
        <v>396</v>
      </c>
      <c r="B67" s="34"/>
      <c r="C67" s="34"/>
      <c r="D67" s="34"/>
      <c r="E67" s="34"/>
      <c r="F67" s="34"/>
      <c r="G67" s="34"/>
    </row>
    <row r="68" spans="1:11" ht="45" customHeight="1">
      <c r="A68" s="841" t="s">
        <v>425</v>
      </c>
      <c r="B68" s="841"/>
      <c r="C68" s="841"/>
      <c r="D68" s="841"/>
      <c r="E68" s="841"/>
      <c r="F68" s="841"/>
      <c r="G68" s="841"/>
      <c r="H68" s="667"/>
      <c r="I68" s="667"/>
      <c r="K68" s="397"/>
    </row>
    <row r="69" spans="1:11" ht="15.6">
      <c r="A69" s="34"/>
      <c r="B69" s="34"/>
      <c r="C69" s="34"/>
      <c r="D69" s="34"/>
      <c r="E69" s="34"/>
      <c r="F69" s="34"/>
      <c r="G69" s="34"/>
    </row>
    <row r="70" spans="1:11" ht="15.6">
      <c r="A70" s="663" t="s">
        <v>418</v>
      </c>
      <c r="B70" s="658"/>
      <c r="C70" s="658"/>
      <c r="D70" s="34"/>
      <c r="E70" s="34"/>
      <c r="F70" s="34"/>
      <c r="G70" s="34"/>
    </row>
    <row r="71" spans="1:11">
      <c r="A71" s="677" t="s">
        <v>423</v>
      </c>
      <c r="C71" s="16"/>
    </row>
    <row r="73" spans="1:11">
      <c r="A73" s="189"/>
    </row>
  </sheetData>
  <mergeCells count="7">
    <mergeCell ref="A68:G68"/>
    <mergeCell ref="A12:G12"/>
    <mergeCell ref="A17:G17"/>
    <mergeCell ref="A37:G37"/>
    <mergeCell ref="A47:G47"/>
    <mergeCell ref="A56:G56"/>
    <mergeCell ref="A64:G64"/>
  </mergeCells>
  <hyperlinks>
    <hyperlink ref="A71" r:id="rId1" xr:uid="{468B92B1-E5A7-4666-816E-2D686B3E1B09}"/>
  </hyperlinks>
  <pageMargins left="0.25" right="0.25" top="0.75" bottom="0.75" header="0.3" footer="0.3"/>
  <pageSetup scale="96" orientation="portrait" r:id="rId2"/>
  <rowBreaks count="1" manualBreakCount="1">
    <brk id="38" max="16383" man="1"/>
  </row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61A64-E82F-4824-8FAD-D265AC86B931}">
  <sheetPr codeName="Sheet13"/>
  <dimension ref="A1:AO139"/>
  <sheetViews>
    <sheetView showZeros="0" zoomScaleNormal="100" workbookViewId="0">
      <selection activeCell="AD25" sqref="AD25"/>
    </sheetView>
  </sheetViews>
  <sheetFormatPr defaultColWidth="8.88671875" defaultRowHeight="14.4"/>
  <cols>
    <col min="1" max="1" width="9.5546875" style="1070" customWidth="1"/>
    <col min="2" max="2" width="16.21875" style="1070" customWidth="1"/>
    <col min="3" max="3" width="14.5546875" style="1073" customWidth="1"/>
    <col min="4" max="4" width="4.77734375" style="1074" hidden="1" customWidth="1"/>
    <col min="5" max="5" width="13.88671875" style="1074" customWidth="1"/>
    <col min="6" max="6" width="10.44140625" style="1075" customWidth="1"/>
    <col min="7" max="8" width="4.77734375" style="1070" hidden="1" customWidth="1"/>
    <col min="9" max="9" width="15.21875" style="1070" customWidth="1"/>
    <col min="10" max="13" width="4.77734375" style="1070" hidden="1" customWidth="1"/>
    <col min="14" max="14" width="20.44140625" style="1070" customWidth="1"/>
    <col min="15" max="15" width="12.77734375" style="1070" customWidth="1"/>
    <col min="16" max="16" width="13" style="1070" customWidth="1"/>
    <col min="17" max="17" width="4.77734375" style="1076" hidden="1" customWidth="1"/>
    <col min="18" max="20" width="4.77734375" style="1070" hidden="1" customWidth="1"/>
    <col min="21" max="21" width="18.109375" style="1070" customWidth="1"/>
    <col min="22" max="22" width="10.21875" style="1070" customWidth="1"/>
    <col min="23" max="26" width="4.77734375" style="1070" hidden="1" customWidth="1"/>
    <col min="27" max="27" width="20.33203125" style="1065" customWidth="1"/>
    <col min="28" max="28" width="11.21875" bestFit="1" customWidth="1"/>
    <col min="29" max="30" width="16.44140625" style="12" bestFit="1" customWidth="1"/>
    <col min="31" max="31" width="9.109375" customWidth="1"/>
    <col min="32" max="32" width="1.109375" style="1067" hidden="1" customWidth="1"/>
    <col min="33" max="33" width="14.44140625" style="1067" bestFit="1" customWidth="1"/>
    <col min="34" max="34" width="7.44140625" style="1065" bestFit="1" customWidth="1"/>
    <col min="35" max="35" width="12.6640625" style="1065" bestFit="1" customWidth="1"/>
    <col min="36" max="37" width="14.44140625" style="1065" bestFit="1" customWidth="1"/>
    <col min="38" max="38" width="8.88671875" style="1065"/>
    <col min="39" max="39" width="12.6640625" style="1065" bestFit="1" customWidth="1"/>
    <col min="40" max="41" width="16.33203125" style="1065" bestFit="1" customWidth="1"/>
    <col min="42" max="16384" width="8.88671875" style="1065"/>
  </cols>
  <sheetData>
    <row r="1" spans="1:41" s="1068" customFormat="1">
      <c r="A1" s="800" t="s">
        <v>532</v>
      </c>
      <c r="B1" s="800" t="s">
        <v>515</v>
      </c>
      <c r="C1" s="801" t="s">
        <v>516</v>
      </c>
      <c r="D1" s="802"/>
      <c r="E1" s="802" t="s">
        <v>440</v>
      </c>
      <c r="F1" s="803" t="s">
        <v>530</v>
      </c>
      <c r="G1" s="800"/>
      <c r="H1" s="800"/>
      <c r="I1" s="800" t="s">
        <v>520</v>
      </c>
      <c r="J1" s="800"/>
      <c r="K1" s="800"/>
      <c r="L1" s="800"/>
      <c r="M1" s="800"/>
      <c r="N1" s="800" t="s">
        <v>92</v>
      </c>
      <c r="O1" s="800" t="s">
        <v>13</v>
      </c>
      <c r="P1" s="800" t="s">
        <v>98</v>
      </c>
      <c r="Q1" s="804"/>
      <c r="R1" s="800"/>
      <c r="S1" s="800"/>
      <c r="T1" s="800"/>
      <c r="U1" s="800" t="s">
        <v>560</v>
      </c>
      <c r="V1" s="800" t="s">
        <v>23</v>
      </c>
      <c r="W1" s="1063"/>
      <c r="X1" s="1063"/>
      <c r="Y1" s="1063"/>
      <c r="Z1" s="1063"/>
      <c r="AA1" s="1064"/>
      <c r="AB1"/>
      <c r="AC1" s="12"/>
      <c r="AD1" s="12"/>
      <c r="AE1"/>
      <c r="AF1" s="1067"/>
      <c r="AG1" s="1067"/>
      <c r="AI1" s="1069"/>
      <c r="AJ1" s="1069"/>
      <c r="AK1" s="1069"/>
      <c r="AM1" s="1069"/>
      <c r="AN1" s="1069"/>
      <c r="AO1" s="1069"/>
    </row>
    <row r="2" spans="1:41">
      <c r="A2" s="805" t="s">
        <v>531</v>
      </c>
      <c r="B2" s="806">
        <f>INPUT!B30</f>
        <v>107350009</v>
      </c>
      <c r="C2" s="807">
        <f>INPUT!B10</f>
        <v>46031</v>
      </c>
      <c r="D2" s="808"/>
      <c r="E2" s="808">
        <f>INPUT!B24</f>
        <v>3928960</v>
      </c>
      <c r="F2" s="809">
        <f>INPUT!B34</f>
        <v>10490</v>
      </c>
      <c r="G2" s="806"/>
      <c r="H2" s="806"/>
      <c r="I2" s="810">
        <f>INPUT!B37</f>
        <v>25</v>
      </c>
      <c r="J2" s="806"/>
      <c r="K2" s="806"/>
      <c r="L2" s="806"/>
      <c r="M2" s="806"/>
      <c r="N2" s="806" t="str">
        <f>INPUT!B31</f>
        <v>1215 GRAPHITE DR</v>
      </c>
      <c r="O2" s="806" t="str">
        <f>INPUT!B32</f>
        <v>CORONA</v>
      </c>
      <c r="P2" s="811">
        <f>INPUT!B38</f>
        <v>0.68</v>
      </c>
      <c r="Q2" s="811"/>
      <c r="R2" s="806"/>
      <c r="S2" s="806"/>
      <c r="T2" s="806"/>
      <c r="U2" s="806">
        <v>22</v>
      </c>
      <c r="V2" s="811" t="str">
        <f>INPUT!B39</f>
        <v>M4</v>
      </c>
      <c r="AA2" s="1064"/>
      <c r="AB2" s="821" t="s">
        <v>141</v>
      </c>
      <c r="AC2" s="821"/>
      <c r="AD2" s="821"/>
      <c r="AE2" s="819"/>
      <c r="AI2" s="1068"/>
      <c r="AJ2" s="1068"/>
      <c r="AK2" s="1068"/>
      <c r="AM2" s="1068"/>
      <c r="AN2" s="1068"/>
      <c r="AO2" s="1068"/>
    </row>
    <row r="3" spans="1:41" s="1072" customFormat="1">
      <c r="A3" s="812" t="s">
        <v>532</v>
      </c>
      <c r="B3" s="812" t="s">
        <v>515</v>
      </c>
      <c r="C3" s="813" t="s">
        <v>516</v>
      </c>
      <c r="D3" s="814"/>
      <c r="E3" s="814" t="s">
        <v>440</v>
      </c>
      <c r="F3" s="815" t="s">
        <v>530</v>
      </c>
      <c r="G3" s="812"/>
      <c r="H3" s="812"/>
      <c r="I3" s="812" t="s">
        <v>520</v>
      </c>
      <c r="J3" s="812"/>
      <c r="K3" s="812"/>
      <c r="L3" s="812"/>
      <c r="M3" s="812"/>
      <c r="N3" s="812" t="s">
        <v>92</v>
      </c>
      <c r="O3" s="812" t="s">
        <v>13</v>
      </c>
      <c r="P3" s="812" t="s">
        <v>98</v>
      </c>
      <c r="Q3" s="816"/>
      <c r="R3" s="812"/>
      <c r="S3" s="812"/>
      <c r="T3" s="812"/>
      <c r="U3" s="812" t="s">
        <v>560</v>
      </c>
      <c r="V3" s="812" t="s">
        <v>23</v>
      </c>
      <c r="W3" s="1064"/>
      <c r="X3" s="1064"/>
      <c r="Y3" s="1064"/>
      <c r="Z3" s="1064"/>
      <c r="AA3" s="1064"/>
      <c r="AB3" s="822" t="s">
        <v>538</v>
      </c>
      <c r="AC3" s="822" t="s">
        <v>539</v>
      </c>
      <c r="AD3" s="822" t="s">
        <v>540</v>
      </c>
      <c r="AE3" s="820" t="s">
        <v>541</v>
      </c>
      <c r="AF3" s="1071"/>
      <c r="AG3" s="1071"/>
      <c r="AH3" s="1066"/>
      <c r="AJ3" s="1066"/>
      <c r="AK3" s="1066"/>
    </row>
    <row r="4" spans="1:41">
      <c r="A4" s="817">
        <v>1</v>
      </c>
      <c r="B4" s="806">
        <v>101370038</v>
      </c>
      <c r="C4" s="807">
        <v>46114</v>
      </c>
      <c r="D4" s="808"/>
      <c r="E4" s="808">
        <v>5300000</v>
      </c>
      <c r="F4" s="809">
        <v>17767</v>
      </c>
      <c r="G4" s="806"/>
      <c r="H4" s="806"/>
      <c r="I4" s="806">
        <v>26</v>
      </c>
      <c r="J4" s="806"/>
      <c r="K4" s="806"/>
      <c r="L4" s="806"/>
      <c r="M4" s="806"/>
      <c r="N4" s="806" t="s">
        <v>550</v>
      </c>
      <c r="O4" s="806" t="s">
        <v>443</v>
      </c>
      <c r="P4" s="806">
        <v>0.96</v>
      </c>
      <c r="Q4" s="811"/>
      <c r="R4" s="806"/>
      <c r="S4" s="806"/>
      <c r="T4" s="806"/>
      <c r="U4" s="806">
        <v>18</v>
      </c>
      <c r="V4" s="806" t="s">
        <v>537</v>
      </c>
      <c r="AB4" s="823" t="s">
        <v>542</v>
      </c>
      <c r="AC4" s="1060">
        <v>101370038</v>
      </c>
      <c r="AD4" s="1060">
        <v>101370038</v>
      </c>
      <c r="AE4" s="824"/>
      <c r="AF4" s="1067">
        <v>4</v>
      </c>
    </row>
    <row r="5" spans="1:41">
      <c r="A5" s="817">
        <v>2</v>
      </c>
      <c r="B5" s="806">
        <v>115200043</v>
      </c>
      <c r="C5" s="807">
        <v>46021</v>
      </c>
      <c r="D5" s="808"/>
      <c r="E5" s="808">
        <v>2675000</v>
      </c>
      <c r="F5" s="809">
        <v>6936</v>
      </c>
      <c r="G5" s="806"/>
      <c r="H5" s="806"/>
      <c r="I5" s="806">
        <v>21</v>
      </c>
      <c r="J5" s="806"/>
      <c r="K5" s="806"/>
      <c r="L5" s="806"/>
      <c r="M5" s="806"/>
      <c r="N5" s="806" t="s">
        <v>556</v>
      </c>
      <c r="O5" s="806" t="s">
        <v>443</v>
      </c>
      <c r="P5" s="806">
        <v>0.51</v>
      </c>
      <c r="Q5" s="811"/>
      <c r="R5" s="806"/>
      <c r="S5" s="806"/>
      <c r="T5" s="806"/>
      <c r="U5" s="806">
        <v>18</v>
      </c>
      <c r="V5" s="806" t="s">
        <v>537</v>
      </c>
      <c r="AB5" s="823" t="s">
        <v>92</v>
      </c>
      <c r="AC5" s="1060" t="s">
        <v>550</v>
      </c>
      <c r="AD5" s="1060" t="s">
        <v>550</v>
      </c>
      <c r="AE5" s="824"/>
      <c r="AF5" s="1067">
        <v>4</v>
      </c>
    </row>
    <row r="6" spans="1:41">
      <c r="A6" s="817">
        <v>3</v>
      </c>
      <c r="B6" s="806">
        <v>107350010</v>
      </c>
      <c r="C6" s="807">
        <v>45817</v>
      </c>
      <c r="D6" s="808"/>
      <c r="E6" s="808">
        <v>6400000</v>
      </c>
      <c r="F6" s="809">
        <v>16504</v>
      </c>
      <c r="G6" s="806"/>
      <c r="H6" s="806"/>
      <c r="I6" s="806">
        <v>25</v>
      </c>
      <c r="J6" s="806"/>
      <c r="K6" s="806"/>
      <c r="L6" s="806"/>
      <c r="M6" s="806"/>
      <c r="N6" s="806" t="s">
        <v>558</v>
      </c>
      <c r="O6" s="806" t="s">
        <v>443</v>
      </c>
      <c r="P6" s="806">
        <v>0.99</v>
      </c>
      <c r="Q6" s="811"/>
      <c r="R6" s="806"/>
      <c r="S6" s="806"/>
      <c r="T6" s="806"/>
      <c r="U6" s="806">
        <v>22</v>
      </c>
      <c r="V6" s="806" t="s">
        <v>547</v>
      </c>
      <c r="AB6" s="823" t="s">
        <v>543</v>
      </c>
      <c r="AC6" s="1060">
        <v>17767</v>
      </c>
      <c r="AD6" s="1061">
        <v>17767</v>
      </c>
      <c r="AE6" s="824"/>
      <c r="AF6" s="1067">
        <v>4</v>
      </c>
    </row>
    <row r="7" spans="1:41">
      <c r="A7" s="817">
        <v>4</v>
      </c>
      <c r="B7" s="806">
        <v>211060012</v>
      </c>
      <c r="C7" s="807">
        <v>46027</v>
      </c>
      <c r="D7" s="808"/>
      <c r="E7" s="808">
        <v>1570000</v>
      </c>
      <c r="F7" s="809">
        <v>5840</v>
      </c>
      <c r="G7" s="806"/>
      <c r="H7" s="806"/>
      <c r="I7" s="806">
        <v>45</v>
      </c>
      <c r="J7" s="806"/>
      <c r="K7" s="806"/>
      <c r="L7" s="806"/>
      <c r="M7" s="806"/>
      <c r="N7" s="806" t="s">
        <v>553</v>
      </c>
      <c r="O7" s="806" t="s">
        <v>534</v>
      </c>
      <c r="P7" s="806">
        <v>0.36</v>
      </c>
      <c r="Q7" s="811"/>
      <c r="R7" s="806"/>
      <c r="S7" s="806"/>
      <c r="T7" s="806"/>
      <c r="U7" s="806">
        <v>16</v>
      </c>
      <c r="V7" s="806" t="s">
        <v>537</v>
      </c>
      <c r="AB7" s="823" t="s">
        <v>98</v>
      </c>
      <c r="AC7" s="1060">
        <v>0.95998600000000001</v>
      </c>
      <c r="AD7" s="1060">
        <v>0.96</v>
      </c>
      <c r="AE7" s="824" t="b">
        <v>1</v>
      </c>
      <c r="AF7" s="1067">
        <v>4</v>
      </c>
    </row>
    <row r="8" spans="1:41">
      <c r="AB8" s="823" t="s">
        <v>520</v>
      </c>
      <c r="AC8" s="1060">
        <v>27</v>
      </c>
      <c r="AD8" s="1060">
        <v>26</v>
      </c>
      <c r="AE8" s="824" t="b">
        <v>1</v>
      </c>
      <c r="AF8" s="1067">
        <v>4</v>
      </c>
    </row>
    <row r="9" spans="1:41">
      <c r="AB9" s="823" t="s">
        <v>67</v>
      </c>
      <c r="AC9" s="1060"/>
      <c r="AD9" s="1062">
        <v>6</v>
      </c>
      <c r="AE9" s="818"/>
      <c r="AF9" s="1067">
        <v>4</v>
      </c>
    </row>
    <row r="11" spans="1:41">
      <c r="AB11" s="821" t="s">
        <v>142</v>
      </c>
      <c r="AC11" s="821"/>
      <c r="AD11" s="821"/>
      <c r="AE11" s="819"/>
    </row>
    <row r="12" spans="1:41">
      <c r="AB12" s="822" t="s">
        <v>538</v>
      </c>
      <c r="AC12" s="822" t="s">
        <v>539</v>
      </c>
      <c r="AD12" s="822" t="s">
        <v>540</v>
      </c>
      <c r="AE12" s="820" t="s">
        <v>541</v>
      </c>
    </row>
    <row r="13" spans="1:41">
      <c r="AB13" s="823" t="s">
        <v>542</v>
      </c>
      <c r="AC13" s="1060">
        <v>115200043</v>
      </c>
      <c r="AD13" s="1060">
        <v>115200043</v>
      </c>
      <c r="AE13" s="824"/>
      <c r="AF13" s="1067">
        <v>5</v>
      </c>
    </row>
    <row r="14" spans="1:41">
      <c r="AB14" s="823" t="s">
        <v>92</v>
      </c>
      <c r="AC14" s="1060" t="s">
        <v>556</v>
      </c>
      <c r="AD14" s="1060" t="s">
        <v>556</v>
      </c>
      <c r="AE14" s="824"/>
      <c r="AF14" s="1067">
        <v>5</v>
      </c>
    </row>
    <row r="15" spans="1:41">
      <c r="AB15" s="823" t="s">
        <v>543</v>
      </c>
      <c r="AC15" s="1060">
        <v>7000</v>
      </c>
      <c r="AD15" s="1061">
        <v>6936</v>
      </c>
      <c r="AE15" s="824" t="b">
        <v>1</v>
      </c>
      <c r="AF15" s="1067">
        <v>5</v>
      </c>
    </row>
    <row r="16" spans="1:41">
      <c r="AB16" s="823" t="s">
        <v>98</v>
      </c>
      <c r="AC16" s="1060">
        <v>0.5</v>
      </c>
      <c r="AD16" s="1060">
        <v>0.51</v>
      </c>
      <c r="AE16" s="824" t="b">
        <v>1</v>
      </c>
      <c r="AF16" s="1067">
        <v>5</v>
      </c>
    </row>
    <row r="17" spans="28:32">
      <c r="AB17" s="823" t="s">
        <v>520</v>
      </c>
      <c r="AC17" s="1060">
        <v>21</v>
      </c>
      <c r="AD17" s="1060">
        <v>21</v>
      </c>
      <c r="AE17" s="824"/>
      <c r="AF17" s="1067">
        <v>5</v>
      </c>
    </row>
    <row r="18" spans="28:32">
      <c r="AB18" s="823" t="s">
        <v>67</v>
      </c>
      <c r="AC18" s="1060"/>
      <c r="AD18" s="1062">
        <v>2.5</v>
      </c>
      <c r="AE18" s="818"/>
      <c r="AF18" s="1067">
        <v>5</v>
      </c>
    </row>
    <row r="20" spans="28:32">
      <c r="AB20" s="821" t="s">
        <v>143</v>
      </c>
      <c r="AC20" s="821"/>
      <c r="AD20" s="821"/>
      <c r="AE20" s="819"/>
    </row>
    <row r="21" spans="28:32">
      <c r="AB21" s="822" t="s">
        <v>538</v>
      </c>
      <c r="AC21" s="822" t="s">
        <v>539</v>
      </c>
      <c r="AD21" s="822" t="s">
        <v>540</v>
      </c>
      <c r="AE21" s="820" t="s">
        <v>541</v>
      </c>
    </row>
    <row r="22" spans="28:32">
      <c r="AB22" s="823" t="s">
        <v>542</v>
      </c>
      <c r="AC22" s="1060">
        <v>107350010</v>
      </c>
      <c r="AD22" s="1060">
        <v>107350010</v>
      </c>
      <c r="AE22" s="824"/>
      <c r="AF22" s="1067">
        <v>6</v>
      </c>
    </row>
    <row r="23" spans="28:32">
      <c r="AB23" s="823" t="s">
        <v>92</v>
      </c>
      <c r="AC23" s="1060" t="s">
        <v>558</v>
      </c>
      <c r="AD23" s="1060" t="s">
        <v>558</v>
      </c>
      <c r="AE23" s="824"/>
      <c r="AF23" s="1067">
        <v>6</v>
      </c>
    </row>
    <row r="24" spans="28:32">
      <c r="AB24" s="823" t="s">
        <v>543</v>
      </c>
      <c r="AC24" s="1060">
        <v>17192</v>
      </c>
      <c r="AD24" s="1061">
        <v>16504</v>
      </c>
      <c r="AE24" s="824" t="b">
        <v>1</v>
      </c>
      <c r="AF24" s="1067">
        <v>6</v>
      </c>
    </row>
    <row r="25" spans="28:32">
      <c r="AB25" s="823" t="s">
        <v>98</v>
      </c>
      <c r="AC25" s="1060">
        <v>1</v>
      </c>
      <c r="AD25" s="1060">
        <v>0.99</v>
      </c>
      <c r="AE25" s="824" t="b">
        <v>1</v>
      </c>
      <c r="AF25" s="1067">
        <v>6</v>
      </c>
    </row>
    <row r="26" spans="28:32">
      <c r="AB26" s="823" t="s">
        <v>520</v>
      </c>
      <c r="AC26" s="1060">
        <v>25</v>
      </c>
      <c r="AD26" s="1060">
        <v>25</v>
      </c>
      <c r="AE26" s="824"/>
      <c r="AF26" s="1067">
        <v>6</v>
      </c>
    </row>
    <row r="27" spans="28:32">
      <c r="AB27" s="823" t="s">
        <v>67</v>
      </c>
      <c r="AC27" s="1060"/>
      <c r="AD27" s="1062">
        <v>2.5</v>
      </c>
      <c r="AE27" s="818"/>
      <c r="AF27" s="1067">
        <v>6</v>
      </c>
    </row>
    <row r="29" spans="28:32">
      <c r="AB29" s="821" t="s">
        <v>144</v>
      </c>
      <c r="AC29" s="821"/>
      <c r="AD29" s="821"/>
      <c r="AE29" s="819"/>
    </row>
    <row r="30" spans="28:32">
      <c r="AB30" s="822" t="s">
        <v>538</v>
      </c>
      <c r="AC30" s="822" t="s">
        <v>539</v>
      </c>
      <c r="AD30" s="822" t="s">
        <v>540</v>
      </c>
      <c r="AE30" s="820" t="s">
        <v>541</v>
      </c>
    </row>
    <row r="31" spans="28:32">
      <c r="AB31" s="823" t="s">
        <v>542</v>
      </c>
      <c r="AC31" s="1060">
        <v>211060012</v>
      </c>
      <c r="AD31" s="1060">
        <v>211060012</v>
      </c>
      <c r="AE31" s="824"/>
      <c r="AF31" s="1067">
        <v>7</v>
      </c>
    </row>
    <row r="32" spans="28:32">
      <c r="AB32" s="823" t="s">
        <v>92</v>
      </c>
      <c r="AC32" s="1060" t="s">
        <v>553</v>
      </c>
      <c r="AD32" s="1060" t="s">
        <v>553</v>
      </c>
      <c r="AE32" s="824"/>
      <c r="AF32" s="1067">
        <v>7</v>
      </c>
    </row>
    <row r="33" spans="3:33">
      <c r="AB33" s="823" t="s">
        <v>543</v>
      </c>
      <c r="AC33" s="1060">
        <v>5840</v>
      </c>
      <c r="AD33" s="1061">
        <v>5840</v>
      </c>
      <c r="AE33" s="824"/>
      <c r="AF33" s="1067">
        <v>7</v>
      </c>
    </row>
    <row r="34" spans="3:33">
      <c r="AB34" s="823" t="s">
        <v>98</v>
      </c>
      <c r="AC34" s="1060">
        <v>0.36</v>
      </c>
      <c r="AD34" s="1060">
        <v>0.36</v>
      </c>
      <c r="AE34" s="824"/>
      <c r="AF34" s="1067">
        <v>7</v>
      </c>
    </row>
    <row r="35" spans="3:33">
      <c r="AB35" s="823" t="s">
        <v>520</v>
      </c>
      <c r="AC35" s="1060">
        <v>45</v>
      </c>
      <c r="AD35" s="1060">
        <v>45</v>
      </c>
      <c r="AE35" s="824"/>
      <c r="AF35" s="1067">
        <v>7</v>
      </c>
    </row>
    <row r="36" spans="3:33">
      <c r="AB36" s="823" t="s">
        <v>67</v>
      </c>
      <c r="AC36" s="1060"/>
      <c r="AD36" s="1062">
        <v>2</v>
      </c>
      <c r="AE36" s="818"/>
      <c r="AF36" s="1067">
        <v>7</v>
      </c>
    </row>
    <row r="47" spans="3:33" s="1070" customFormat="1">
      <c r="C47" s="1073"/>
      <c r="D47" s="1074"/>
      <c r="E47" s="1074"/>
      <c r="F47" s="1075"/>
      <c r="Q47" s="1077"/>
      <c r="AA47" s="1065"/>
      <c r="AB47"/>
      <c r="AC47" s="12"/>
      <c r="AD47" s="12"/>
      <c r="AE47"/>
      <c r="AF47" s="1067"/>
      <c r="AG47" s="1067"/>
    </row>
    <row r="48" spans="3:33" s="1070" customFormat="1">
      <c r="C48" s="1073"/>
      <c r="D48" s="1074"/>
      <c r="E48" s="1074"/>
      <c r="F48" s="1075"/>
      <c r="Q48" s="1077"/>
      <c r="AA48" s="1065"/>
      <c r="AB48"/>
      <c r="AC48" s="12"/>
      <c r="AD48" s="12"/>
      <c r="AE48"/>
      <c r="AF48" s="1067"/>
      <c r="AG48" s="1067"/>
    </row>
    <row r="49" spans="1:33" s="1070" customFormat="1">
      <c r="C49" s="1073"/>
      <c r="D49" s="1074"/>
      <c r="E49" s="1074"/>
      <c r="F49" s="1075"/>
      <c r="Q49" s="1077"/>
      <c r="AA49" s="1065"/>
      <c r="AB49"/>
      <c r="AC49" s="12"/>
      <c r="AD49" s="12"/>
      <c r="AE49"/>
      <c r="AF49" s="1067"/>
      <c r="AG49" s="1067"/>
    </row>
    <row r="61" spans="1:33">
      <c r="A61" s="1078"/>
      <c r="B61" s="1079"/>
      <c r="C61" s="1080"/>
      <c r="D61" s="1081"/>
      <c r="E61" s="1081"/>
      <c r="F61" s="1082"/>
      <c r="G61" s="1079"/>
      <c r="J61" s="1079"/>
      <c r="K61" s="1079"/>
      <c r="L61" s="1079"/>
      <c r="M61" s="1079"/>
      <c r="N61" s="1078"/>
      <c r="O61" s="1079"/>
      <c r="P61" s="1079"/>
      <c r="Q61" s="1083"/>
      <c r="R61" s="1079"/>
      <c r="S61" s="1079"/>
      <c r="T61" s="1079"/>
      <c r="U61" s="1079"/>
      <c r="V61" s="1079"/>
      <c r="W61" s="1079"/>
      <c r="X61" s="1079"/>
      <c r="Y61" s="1079"/>
      <c r="Z61" s="1079"/>
    </row>
    <row r="62" spans="1:33">
      <c r="B62" s="1084"/>
      <c r="C62" s="1085"/>
      <c r="D62" s="1086"/>
      <c r="E62" s="1086"/>
      <c r="F62" s="1087"/>
      <c r="G62" s="1084"/>
      <c r="I62" s="1088"/>
      <c r="J62" s="1084"/>
      <c r="K62" s="1084"/>
      <c r="L62" s="1084"/>
      <c r="M62" s="1084"/>
      <c r="O62" s="1084"/>
      <c r="P62" s="1084"/>
      <c r="Q62" s="1077"/>
      <c r="R62" s="1084"/>
      <c r="S62" s="1084"/>
      <c r="T62" s="1084"/>
      <c r="U62" s="1077"/>
      <c r="V62" s="1084"/>
      <c r="W62" s="1084"/>
      <c r="X62" s="1084"/>
      <c r="Y62" s="1084"/>
      <c r="Z62" s="1084"/>
    </row>
    <row r="63" spans="1:33">
      <c r="B63" s="1084"/>
      <c r="C63" s="1085"/>
      <c r="D63" s="1086"/>
      <c r="E63" s="1086"/>
      <c r="F63" s="1087"/>
      <c r="G63" s="1084"/>
      <c r="I63" s="1088"/>
      <c r="J63" s="1084"/>
      <c r="K63" s="1084"/>
      <c r="L63" s="1084"/>
      <c r="M63" s="1084"/>
      <c r="O63" s="1084"/>
      <c r="P63" s="1084"/>
      <c r="Q63" s="1077"/>
      <c r="R63" s="1084"/>
      <c r="S63" s="1084"/>
      <c r="T63" s="1084"/>
      <c r="U63" s="1077"/>
      <c r="V63" s="1084"/>
      <c r="W63" s="1084"/>
      <c r="X63" s="1084"/>
      <c r="Y63" s="1084"/>
      <c r="Z63" s="1084"/>
    </row>
    <row r="64" spans="1:33">
      <c r="B64" s="1084"/>
      <c r="C64" s="1085"/>
      <c r="D64" s="1086"/>
      <c r="E64" s="1086"/>
      <c r="F64" s="1087"/>
      <c r="G64" s="1084"/>
      <c r="I64" s="1088"/>
      <c r="J64" s="1084"/>
      <c r="K64" s="1084"/>
      <c r="L64" s="1084"/>
      <c r="M64" s="1084"/>
      <c r="O64" s="1084"/>
      <c r="P64" s="1084"/>
      <c r="Q64" s="1077"/>
      <c r="R64" s="1084"/>
      <c r="S64" s="1084"/>
      <c r="T64" s="1084"/>
      <c r="U64" s="1077"/>
      <c r="V64" s="1084"/>
      <c r="W64" s="1084"/>
      <c r="X64" s="1084"/>
      <c r="Y64" s="1084"/>
      <c r="Z64" s="1084"/>
    </row>
    <row r="65" spans="2:26">
      <c r="B65" s="1084"/>
      <c r="C65" s="1085"/>
      <c r="D65" s="1086"/>
      <c r="E65" s="1086"/>
      <c r="F65" s="1087"/>
      <c r="G65" s="1084"/>
      <c r="I65" s="1088"/>
      <c r="J65" s="1084"/>
      <c r="K65" s="1084"/>
      <c r="L65" s="1084"/>
      <c r="M65" s="1084"/>
      <c r="O65" s="1084"/>
      <c r="P65" s="1084"/>
      <c r="Q65" s="1077"/>
      <c r="R65" s="1084"/>
      <c r="S65" s="1084"/>
      <c r="T65" s="1084"/>
      <c r="U65" s="1077"/>
      <c r="V65" s="1084"/>
      <c r="W65" s="1084"/>
      <c r="X65" s="1084"/>
      <c r="Y65" s="1084"/>
      <c r="Z65" s="1084"/>
    </row>
    <row r="66" spans="2:26">
      <c r="B66" s="1084"/>
      <c r="C66" s="1085"/>
      <c r="D66" s="1086"/>
      <c r="E66" s="1086"/>
      <c r="F66" s="1087"/>
      <c r="G66" s="1084"/>
      <c r="I66" s="1088"/>
      <c r="J66" s="1084"/>
      <c r="K66" s="1084"/>
      <c r="L66" s="1084"/>
      <c r="M66" s="1084"/>
      <c r="O66" s="1084"/>
      <c r="P66" s="1084"/>
      <c r="Q66" s="1077"/>
      <c r="R66" s="1084"/>
      <c r="S66" s="1084"/>
      <c r="T66" s="1084"/>
      <c r="U66" s="1077"/>
      <c r="V66" s="1084"/>
      <c r="W66" s="1084"/>
      <c r="X66" s="1084"/>
      <c r="Y66" s="1084"/>
      <c r="Z66" s="1084"/>
    </row>
    <row r="67" spans="2:26">
      <c r="B67" s="1084"/>
      <c r="C67" s="1085"/>
      <c r="D67" s="1086"/>
      <c r="E67" s="1086"/>
      <c r="F67" s="1087"/>
      <c r="G67" s="1084"/>
      <c r="I67" s="1088"/>
      <c r="J67" s="1084"/>
      <c r="K67" s="1084"/>
      <c r="L67" s="1084"/>
      <c r="M67" s="1084"/>
      <c r="O67" s="1084"/>
      <c r="P67" s="1084"/>
      <c r="Q67" s="1077"/>
      <c r="R67" s="1084"/>
      <c r="S67" s="1084"/>
      <c r="T67" s="1084"/>
      <c r="U67" s="1077"/>
      <c r="V67" s="1084"/>
      <c r="W67" s="1084"/>
      <c r="X67" s="1084"/>
      <c r="Y67" s="1084"/>
      <c r="Z67" s="1084"/>
    </row>
    <row r="68" spans="2:26">
      <c r="B68" s="1084"/>
      <c r="C68" s="1085"/>
      <c r="D68" s="1086"/>
      <c r="E68" s="1086"/>
      <c r="F68" s="1087"/>
      <c r="G68" s="1084"/>
      <c r="I68" s="1088"/>
      <c r="J68" s="1084"/>
      <c r="K68" s="1084"/>
      <c r="L68" s="1084"/>
      <c r="M68" s="1084"/>
      <c r="O68" s="1084"/>
      <c r="P68" s="1084"/>
      <c r="Q68" s="1077"/>
      <c r="R68" s="1084"/>
      <c r="S68" s="1084"/>
      <c r="T68" s="1084"/>
      <c r="U68" s="1077"/>
      <c r="V68" s="1084"/>
      <c r="W68" s="1084"/>
      <c r="X68" s="1084"/>
      <c r="Y68" s="1084"/>
      <c r="Z68" s="1084"/>
    </row>
    <row r="69" spans="2:26">
      <c r="B69" s="1084"/>
      <c r="C69" s="1085"/>
      <c r="D69" s="1086"/>
      <c r="E69" s="1086"/>
      <c r="F69" s="1087"/>
      <c r="G69" s="1084"/>
      <c r="I69" s="1088"/>
      <c r="J69" s="1084"/>
      <c r="K69" s="1084"/>
      <c r="L69" s="1084"/>
      <c r="M69" s="1084"/>
      <c r="O69" s="1084"/>
      <c r="P69" s="1084"/>
      <c r="Q69" s="1077"/>
      <c r="R69" s="1084"/>
      <c r="S69" s="1084"/>
      <c r="T69" s="1084"/>
      <c r="U69" s="1077"/>
      <c r="V69" s="1084"/>
      <c r="W69" s="1084"/>
      <c r="X69" s="1084"/>
      <c r="Y69" s="1084"/>
      <c r="Z69" s="1084"/>
    </row>
    <row r="70" spans="2:26">
      <c r="B70" s="1084"/>
      <c r="C70" s="1085"/>
      <c r="D70" s="1086"/>
      <c r="E70" s="1086"/>
      <c r="F70" s="1087"/>
      <c r="G70" s="1084"/>
      <c r="I70" s="1088"/>
      <c r="J70" s="1084"/>
      <c r="K70" s="1084"/>
      <c r="L70" s="1084"/>
      <c r="M70" s="1084"/>
      <c r="O70" s="1084"/>
      <c r="P70" s="1084"/>
      <c r="Q70" s="1077"/>
      <c r="R70" s="1084"/>
      <c r="S70" s="1084"/>
      <c r="T70" s="1084"/>
      <c r="U70" s="1077"/>
      <c r="V70" s="1084"/>
      <c r="W70" s="1084"/>
      <c r="X70" s="1084"/>
      <c r="Y70" s="1084"/>
      <c r="Z70" s="1084"/>
    </row>
    <row r="71" spans="2:26">
      <c r="B71" s="1084"/>
      <c r="C71" s="1085"/>
      <c r="D71" s="1086"/>
      <c r="E71" s="1086"/>
      <c r="F71" s="1087"/>
      <c r="G71" s="1084"/>
      <c r="I71" s="1088"/>
      <c r="J71" s="1084"/>
      <c r="K71" s="1084"/>
      <c r="L71" s="1084"/>
      <c r="M71" s="1084"/>
      <c r="O71" s="1084"/>
      <c r="P71" s="1084"/>
      <c r="Q71" s="1077"/>
      <c r="R71" s="1084"/>
      <c r="S71" s="1084"/>
      <c r="T71" s="1084"/>
      <c r="U71" s="1077"/>
      <c r="V71" s="1084"/>
      <c r="W71" s="1084"/>
      <c r="X71" s="1084"/>
      <c r="Y71" s="1084"/>
      <c r="Z71" s="1084"/>
    </row>
    <row r="72" spans="2:26">
      <c r="B72" s="1084"/>
      <c r="C72" s="1085"/>
      <c r="D72" s="1086"/>
      <c r="E72" s="1086"/>
      <c r="F72" s="1087"/>
      <c r="G72" s="1084"/>
      <c r="I72" s="1088"/>
      <c r="J72" s="1084"/>
      <c r="K72" s="1084"/>
      <c r="L72" s="1084"/>
      <c r="M72" s="1084"/>
      <c r="O72" s="1084"/>
      <c r="P72" s="1084"/>
      <c r="Q72" s="1077"/>
      <c r="R72" s="1084"/>
      <c r="S72" s="1084"/>
      <c r="T72" s="1084"/>
      <c r="U72" s="1077"/>
      <c r="V72" s="1084"/>
      <c r="W72" s="1084"/>
      <c r="X72" s="1084"/>
      <c r="Y72" s="1084"/>
      <c r="Z72" s="1084"/>
    </row>
    <row r="73" spans="2:26">
      <c r="B73" s="1084"/>
      <c r="C73" s="1085"/>
      <c r="D73" s="1086"/>
      <c r="E73" s="1086"/>
      <c r="F73" s="1087"/>
      <c r="G73" s="1084"/>
      <c r="I73" s="1088"/>
      <c r="J73" s="1084"/>
      <c r="K73" s="1084"/>
      <c r="L73" s="1084"/>
      <c r="M73" s="1084"/>
      <c r="O73" s="1084"/>
      <c r="P73" s="1084"/>
      <c r="Q73" s="1077"/>
      <c r="R73" s="1084"/>
      <c r="S73" s="1084"/>
      <c r="T73" s="1084"/>
      <c r="U73" s="1077"/>
      <c r="V73" s="1084"/>
      <c r="W73" s="1084"/>
      <c r="X73" s="1084"/>
      <c r="Y73" s="1084"/>
      <c r="Z73" s="1084"/>
    </row>
    <row r="74" spans="2:26">
      <c r="B74" s="1084"/>
      <c r="C74" s="1085"/>
      <c r="D74" s="1086"/>
      <c r="E74" s="1086"/>
      <c r="F74" s="1087"/>
      <c r="G74" s="1084"/>
      <c r="I74" s="1088"/>
      <c r="J74" s="1084"/>
      <c r="K74" s="1084"/>
      <c r="L74" s="1084"/>
      <c r="M74" s="1084"/>
      <c r="O74" s="1084"/>
      <c r="P74" s="1084"/>
      <c r="Q74" s="1077"/>
      <c r="R74" s="1084"/>
      <c r="S74" s="1084"/>
      <c r="T74" s="1084"/>
      <c r="U74" s="1077"/>
      <c r="V74" s="1084"/>
      <c r="W74" s="1084"/>
      <c r="X74" s="1084"/>
      <c r="Y74" s="1084"/>
      <c r="Z74" s="1084"/>
    </row>
    <row r="75" spans="2:26">
      <c r="B75" s="1084"/>
      <c r="C75" s="1085"/>
      <c r="D75" s="1086"/>
      <c r="E75" s="1086"/>
      <c r="F75" s="1087"/>
      <c r="G75" s="1084"/>
      <c r="I75" s="1088"/>
      <c r="J75" s="1084"/>
      <c r="K75" s="1084"/>
      <c r="L75" s="1084"/>
      <c r="M75" s="1084"/>
      <c r="O75" s="1084"/>
      <c r="P75" s="1084"/>
      <c r="Q75" s="1077"/>
      <c r="R75" s="1084"/>
      <c r="S75" s="1084"/>
      <c r="T75" s="1084"/>
      <c r="U75" s="1077"/>
      <c r="V75" s="1084"/>
      <c r="W75" s="1084"/>
      <c r="X75" s="1084"/>
      <c r="Y75" s="1084"/>
      <c r="Z75" s="1084"/>
    </row>
    <row r="76" spans="2:26">
      <c r="B76" s="1084"/>
      <c r="C76" s="1085"/>
      <c r="D76" s="1086"/>
      <c r="E76" s="1086"/>
      <c r="F76" s="1087"/>
      <c r="G76" s="1084"/>
      <c r="I76" s="1088"/>
      <c r="J76" s="1084"/>
      <c r="K76" s="1084"/>
      <c r="L76" s="1084"/>
      <c r="M76" s="1084"/>
      <c r="O76" s="1084"/>
      <c r="P76" s="1084"/>
      <c r="Q76" s="1077"/>
      <c r="R76" s="1084"/>
      <c r="S76" s="1084"/>
      <c r="T76" s="1084"/>
      <c r="U76" s="1077"/>
      <c r="V76" s="1084"/>
      <c r="W76" s="1084"/>
      <c r="X76" s="1084"/>
      <c r="Y76" s="1084"/>
      <c r="Z76" s="1084"/>
    </row>
    <row r="77" spans="2:26">
      <c r="B77" s="1084"/>
      <c r="C77" s="1085"/>
      <c r="D77" s="1086"/>
      <c r="E77" s="1086"/>
      <c r="F77" s="1087"/>
      <c r="G77" s="1084"/>
      <c r="I77" s="1088"/>
      <c r="J77" s="1084"/>
      <c r="K77" s="1084"/>
      <c r="L77" s="1087"/>
      <c r="M77" s="1084"/>
      <c r="O77" s="1084"/>
      <c r="P77" s="1084"/>
      <c r="Q77" s="1077"/>
      <c r="R77" s="1084"/>
      <c r="S77" s="1084"/>
      <c r="T77" s="1084"/>
      <c r="U77" s="1077"/>
      <c r="V77" s="1084"/>
      <c r="W77" s="1084"/>
      <c r="X77" s="1084"/>
      <c r="Y77" s="1084"/>
      <c r="Z77" s="1084"/>
    </row>
    <row r="78" spans="2:26">
      <c r="B78" s="1084"/>
      <c r="C78" s="1085"/>
      <c r="D78" s="1086"/>
      <c r="E78" s="1086"/>
      <c r="F78" s="1087"/>
      <c r="G78" s="1084"/>
      <c r="I78" s="1088"/>
      <c r="J78" s="1084"/>
      <c r="K78" s="1084"/>
      <c r="L78" s="1084"/>
      <c r="M78" s="1084"/>
      <c r="O78" s="1084"/>
      <c r="P78" s="1084"/>
      <c r="Q78" s="1077"/>
      <c r="R78" s="1084"/>
      <c r="S78" s="1084"/>
      <c r="T78" s="1084"/>
      <c r="U78" s="1077"/>
      <c r="V78" s="1084"/>
      <c r="W78" s="1084"/>
      <c r="X78" s="1084"/>
      <c r="Y78" s="1084"/>
      <c r="Z78" s="1084"/>
    </row>
    <row r="79" spans="2:26">
      <c r="B79" s="1084"/>
      <c r="C79" s="1085"/>
      <c r="D79" s="1086"/>
      <c r="E79" s="1086"/>
      <c r="F79" s="1087"/>
      <c r="G79" s="1084"/>
      <c r="I79" s="1088"/>
      <c r="J79" s="1084"/>
      <c r="K79" s="1084"/>
      <c r="L79" s="1084"/>
      <c r="M79" s="1084"/>
      <c r="O79" s="1084"/>
      <c r="P79" s="1084"/>
      <c r="Q79" s="1077"/>
      <c r="R79" s="1084"/>
      <c r="S79" s="1084"/>
      <c r="T79" s="1084"/>
      <c r="U79" s="1077"/>
      <c r="V79" s="1084"/>
      <c r="W79" s="1084"/>
      <c r="X79" s="1084"/>
      <c r="Y79" s="1084"/>
      <c r="Z79" s="1084"/>
    </row>
    <row r="80" spans="2:26">
      <c r="B80" s="1084"/>
      <c r="C80" s="1085"/>
      <c r="D80" s="1086"/>
      <c r="E80" s="1086"/>
      <c r="F80" s="1087"/>
      <c r="G80" s="1084"/>
      <c r="I80" s="1088"/>
      <c r="J80" s="1084"/>
      <c r="K80" s="1084"/>
      <c r="L80" s="1084"/>
      <c r="M80" s="1084"/>
      <c r="O80" s="1084"/>
      <c r="P80" s="1084"/>
      <c r="Q80" s="1077"/>
      <c r="R80" s="1084"/>
      <c r="S80" s="1084"/>
      <c r="T80" s="1084"/>
      <c r="U80" s="1077"/>
      <c r="V80" s="1084"/>
      <c r="W80" s="1084"/>
      <c r="X80" s="1084"/>
      <c r="Y80" s="1084"/>
      <c r="Z80" s="1084"/>
    </row>
    <row r="81" spans="2:26">
      <c r="B81" s="1084"/>
      <c r="C81" s="1085"/>
      <c r="D81" s="1086"/>
      <c r="E81" s="1086"/>
      <c r="F81" s="1087"/>
      <c r="G81" s="1084"/>
      <c r="I81" s="1088"/>
      <c r="J81" s="1084"/>
      <c r="K81" s="1084"/>
      <c r="L81" s="1087"/>
      <c r="M81" s="1084"/>
      <c r="O81" s="1084"/>
      <c r="P81" s="1084"/>
      <c r="Q81" s="1077"/>
      <c r="R81" s="1084"/>
      <c r="S81" s="1084"/>
      <c r="T81" s="1084"/>
      <c r="U81" s="1077"/>
      <c r="V81" s="1084"/>
      <c r="W81" s="1084"/>
      <c r="X81" s="1084"/>
      <c r="Y81" s="1084"/>
      <c r="Z81" s="1084"/>
    </row>
    <row r="82" spans="2:26">
      <c r="B82" s="1084"/>
      <c r="C82" s="1085"/>
      <c r="D82" s="1086"/>
      <c r="E82" s="1086"/>
      <c r="F82" s="1087"/>
      <c r="G82" s="1084"/>
      <c r="I82" s="1088"/>
      <c r="J82" s="1084"/>
      <c r="K82" s="1084"/>
      <c r="L82" s="1087"/>
      <c r="M82" s="1084"/>
      <c r="O82" s="1084"/>
      <c r="P82" s="1084"/>
      <c r="Q82" s="1077"/>
      <c r="R82" s="1084"/>
      <c r="S82" s="1084"/>
      <c r="T82" s="1084"/>
      <c r="U82" s="1077"/>
      <c r="V82" s="1084"/>
      <c r="W82" s="1084"/>
      <c r="X82" s="1084"/>
      <c r="Y82" s="1084"/>
      <c r="Z82" s="1084"/>
    </row>
    <row r="83" spans="2:26">
      <c r="B83" s="1084"/>
      <c r="C83" s="1085"/>
      <c r="D83" s="1086"/>
      <c r="E83" s="1086"/>
      <c r="F83" s="1087"/>
      <c r="G83" s="1084"/>
      <c r="I83" s="1088"/>
      <c r="J83" s="1084"/>
      <c r="K83" s="1084"/>
      <c r="L83" s="1087"/>
      <c r="M83" s="1084"/>
      <c r="O83" s="1084"/>
      <c r="P83" s="1084"/>
      <c r="Q83" s="1077"/>
      <c r="R83" s="1084"/>
      <c r="S83" s="1084"/>
      <c r="T83" s="1084"/>
      <c r="U83" s="1077"/>
      <c r="V83" s="1084"/>
      <c r="W83" s="1084"/>
      <c r="X83" s="1084"/>
      <c r="Y83" s="1084"/>
      <c r="Z83" s="1084"/>
    </row>
    <row r="84" spans="2:26">
      <c r="B84" s="1084"/>
      <c r="C84" s="1085"/>
      <c r="D84" s="1086"/>
      <c r="E84" s="1086"/>
      <c r="F84" s="1087"/>
      <c r="G84" s="1084"/>
      <c r="I84" s="1088"/>
      <c r="J84" s="1084"/>
      <c r="K84" s="1084"/>
      <c r="L84" s="1087"/>
      <c r="M84" s="1084"/>
      <c r="O84" s="1084"/>
      <c r="P84" s="1084"/>
      <c r="Q84" s="1077"/>
      <c r="R84" s="1084"/>
      <c r="S84" s="1084"/>
      <c r="T84" s="1084"/>
      <c r="U84" s="1077"/>
      <c r="V84" s="1084"/>
      <c r="W84" s="1084"/>
      <c r="X84" s="1084"/>
      <c r="Y84" s="1084"/>
      <c r="Z84" s="1084"/>
    </row>
    <row r="85" spans="2:26">
      <c r="B85" s="1084"/>
      <c r="C85" s="1085"/>
      <c r="D85" s="1086"/>
      <c r="E85" s="1086"/>
      <c r="F85" s="1087"/>
      <c r="G85" s="1084"/>
      <c r="I85" s="1088"/>
      <c r="J85" s="1084"/>
      <c r="K85" s="1084"/>
      <c r="L85" s="1084"/>
      <c r="M85" s="1084"/>
      <c r="O85" s="1084"/>
      <c r="P85" s="1084"/>
      <c r="Q85" s="1077"/>
      <c r="R85" s="1084"/>
      <c r="S85" s="1084"/>
      <c r="T85" s="1084"/>
      <c r="U85" s="1077"/>
      <c r="V85" s="1084"/>
      <c r="W85" s="1084"/>
      <c r="X85" s="1084"/>
      <c r="Y85" s="1084"/>
      <c r="Z85" s="1084"/>
    </row>
    <row r="86" spans="2:26">
      <c r="B86" s="1084"/>
      <c r="C86" s="1085"/>
      <c r="D86" s="1086"/>
      <c r="E86" s="1086"/>
      <c r="F86" s="1087"/>
      <c r="G86" s="1084"/>
      <c r="I86" s="1088"/>
      <c r="J86" s="1084"/>
      <c r="K86" s="1084"/>
      <c r="L86" s="1087"/>
      <c r="M86" s="1084"/>
      <c r="O86" s="1084"/>
      <c r="P86" s="1084"/>
      <c r="Q86" s="1077"/>
      <c r="R86" s="1084"/>
      <c r="S86" s="1084"/>
      <c r="T86" s="1084"/>
      <c r="U86" s="1077"/>
      <c r="V86" s="1084"/>
      <c r="W86" s="1084"/>
      <c r="X86" s="1084"/>
      <c r="Y86" s="1084"/>
      <c r="Z86" s="1084"/>
    </row>
    <row r="87" spans="2:26">
      <c r="B87" s="1084"/>
      <c r="C87" s="1085"/>
      <c r="D87" s="1086"/>
      <c r="E87" s="1086"/>
      <c r="F87" s="1087"/>
      <c r="G87" s="1084"/>
      <c r="I87" s="1088"/>
      <c r="J87" s="1084"/>
      <c r="K87" s="1084"/>
      <c r="L87" s="1087"/>
      <c r="M87" s="1084"/>
      <c r="O87" s="1084"/>
      <c r="P87" s="1084"/>
      <c r="Q87" s="1077"/>
      <c r="R87" s="1084"/>
      <c r="S87" s="1084"/>
      <c r="T87" s="1084"/>
      <c r="U87" s="1077"/>
      <c r="V87" s="1084"/>
      <c r="W87" s="1084"/>
      <c r="X87" s="1084"/>
      <c r="Y87" s="1084"/>
      <c r="Z87" s="1084"/>
    </row>
    <row r="88" spans="2:26">
      <c r="B88" s="1084"/>
      <c r="C88" s="1085"/>
      <c r="D88" s="1086"/>
      <c r="E88" s="1086"/>
      <c r="F88" s="1087"/>
      <c r="G88" s="1084"/>
      <c r="I88" s="1088"/>
      <c r="J88" s="1084"/>
      <c r="K88" s="1084"/>
      <c r="L88" s="1087"/>
      <c r="M88" s="1084"/>
      <c r="O88" s="1084"/>
      <c r="P88" s="1084"/>
      <c r="Q88" s="1077"/>
      <c r="R88" s="1084"/>
      <c r="S88" s="1084"/>
      <c r="T88" s="1084"/>
      <c r="U88" s="1077"/>
      <c r="V88" s="1084"/>
      <c r="W88" s="1084"/>
      <c r="X88" s="1084"/>
      <c r="Y88" s="1084"/>
      <c r="Z88" s="1084"/>
    </row>
    <row r="89" spans="2:26">
      <c r="B89" s="1084"/>
      <c r="C89" s="1085"/>
      <c r="D89" s="1086"/>
      <c r="E89" s="1086"/>
      <c r="F89" s="1087"/>
      <c r="G89" s="1084"/>
      <c r="I89" s="1088"/>
      <c r="J89" s="1084"/>
      <c r="K89" s="1084"/>
      <c r="L89" s="1087"/>
      <c r="M89" s="1084"/>
      <c r="O89" s="1084"/>
      <c r="P89" s="1084"/>
      <c r="Q89" s="1077"/>
      <c r="R89" s="1084"/>
      <c r="S89" s="1084"/>
      <c r="T89" s="1084"/>
      <c r="U89" s="1077"/>
      <c r="V89" s="1084"/>
      <c r="W89" s="1084"/>
      <c r="X89" s="1084"/>
      <c r="Y89" s="1084"/>
      <c r="Z89" s="1084"/>
    </row>
    <row r="90" spans="2:26">
      <c r="B90" s="1084"/>
      <c r="C90" s="1085"/>
      <c r="D90" s="1086"/>
      <c r="E90" s="1086"/>
      <c r="F90" s="1087"/>
      <c r="G90" s="1084"/>
      <c r="I90" s="1088"/>
      <c r="J90" s="1084"/>
      <c r="K90" s="1084"/>
      <c r="L90" s="1087"/>
      <c r="M90" s="1084"/>
      <c r="O90" s="1084"/>
      <c r="P90" s="1084"/>
      <c r="Q90" s="1077"/>
      <c r="R90" s="1084"/>
      <c r="S90" s="1084"/>
      <c r="T90" s="1084"/>
      <c r="U90" s="1077"/>
      <c r="V90" s="1084"/>
      <c r="W90" s="1084"/>
      <c r="X90" s="1084"/>
      <c r="Y90" s="1084"/>
      <c r="Z90" s="1084"/>
    </row>
    <row r="91" spans="2:26">
      <c r="B91" s="1084"/>
      <c r="C91" s="1085"/>
      <c r="D91" s="1086"/>
      <c r="E91" s="1086"/>
      <c r="F91" s="1087"/>
      <c r="G91" s="1084"/>
      <c r="I91" s="1088"/>
      <c r="J91" s="1084"/>
      <c r="K91" s="1084"/>
      <c r="L91" s="1087"/>
      <c r="M91" s="1084"/>
      <c r="O91" s="1084"/>
      <c r="P91" s="1084"/>
      <c r="Q91" s="1077"/>
      <c r="R91" s="1084"/>
      <c r="S91" s="1084"/>
      <c r="T91" s="1084"/>
      <c r="U91" s="1077"/>
      <c r="V91" s="1084"/>
      <c r="W91" s="1084"/>
      <c r="X91" s="1084"/>
      <c r="Y91" s="1084"/>
      <c r="Z91" s="1084"/>
    </row>
    <row r="92" spans="2:26">
      <c r="B92" s="1084"/>
      <c r="C92" s="1085"/>
      <c r="D92" s="1086"/>
      <c r="E92" s="1086"/>
      <c r="F92" s="1087"/>
      <c r="G92" s="1084"/>
      <c r="I92" s="1088"/>
      <c r="J92" s="1084"/>
      <c r="K92" s="1084"/>
      <c r="L92" s="1087"/>
      <c r="M92" s="1084"/>
      <c r="O92" s="1084"/>
      <c r="P92" s="1084"/>
      <c r="Q92" s="1077"/>
      <c r="R92" s="1084"/>
      <c r="S92" s="1084"/>
      <c r="T92" s="1084"/>
      <c r="U92" s="1077"/>
      <c r="V92" s="1084"/>
      <c r="W92" s="1084"/>
      <c r="X92" s="1084"/>
      <c r="Y92" s="1084"/>
      <c r="Z92" s="1084"/>
    </row>
    <row r="93" spans="2:26">
      <c r="B93" s="1084"/>
      <c r="C93" s="1085"/>
      <c r="D93" s="1086"/>
      <c r="E93" s="1086"/>
      <c r="F93" s="1087"/>
      <c r="G93" s="1084"/>
      <c r="I93" s="1088"/>
      <c r="J93" s="1084"/>
      <c r="K93" s="1084"/>
      <c r="L93" s="1087"/>
      <c r="M93" s="1084"/>
      <c r="O93" s="1084"/>
      <c r="P93" s="1084"/>
      <c r="Q93" s="1077"/>
      <c r="R93" s="1084"/>
      <c r="S93" s="1084"/>
      <c r="T93" s="1084"/>
      <c r="U93" s="1077"/>
      <c r="V93" s="1084"/>
      <c r="W93" s="1084"/>
      <c r="X93" s="1084"/>
      <c r="Y93" s="1084"/>
      <c r="Z93" s="1084"/>
    </row>
    <row r="94" spans="2:26">
      <c r="B94" s="1084"/>
      <c r="C94" s="1085"/>
      <c r="D94" s="1086"/>
      <c r="E94" s="1086"/>
      <c r="F94" s="1087"/>
      <c r="G94" s="1084"/>
      <c r="I94" s="1088"/>
      <c r="J94" s="1084"/>
      <c r="K94" s="1084"/>
      <c r="L94" s="1087"/>
      <c r="M94" s="1084"/>
      <c r="O94" s="1084"/>
      <c r="P94" s="1084"/>
      <c r="Q94" s="1077"/>
      <c r="R94" s="1084"/>
      <c r="S94" s="1084"/>
      <c r="T94" s="1084"/>
      <c r="U94" s="1077"/>
      <c r="V94" s="1084"/>
      <c r="W94" s="1084"/>
      <c r="X94" s="1084"/>
      <c r="Y94" s="1084"/>
      <c r="Z94" s="1084"/>
    </row>
    <row r="95" spans="2:26">
      <c r="B95" s="1084"/>
      <c r="C95" s="1085"/>
      <c r="D95" s="1086"/>
      <c r="E95" s="1086"/>
      <c r="F95" s="1087"/>
      <c r="G95" s="1084"/>
      <c r="I95" s="1088"/>
      <c r="J95" s="1084"/>
      <c r="K95" s="1084"/>
      <c r="L95" s="1087"/>
      <c r="M95" s="1084"/>
      <c r="O95" s="1084"/>
      <c r="P95" s="1084"/>
      <c r="Q95" s="1077"/>
      <c r="R95" s="1084"/>
      <c r="S95" s="1084"/>
      <c r="T95" s="1084"/>
      <c r="U95" s="1077"/>
      <c r="V95" s="1084"/>
      <c r="W95" s="1084"/>
      <c r="X95" s="1084"/>
      <c r="Y95" s="1084"/>
      <c r="Z95" s="1084"/>
    </row>
    <row r="96" spans="2:26">
      <c r="B96" s="1084"/>
      <c r="C96" s="1085"/>
      <c r="D96" s="1086"/>
      <c r="E96" s="1086"/>
      <c r="F96" s="1087"/>
      <c r="G96" s="1084"/>
      <c r="I96" s="1088"/>
      <c r="J96" s="1084"/>
      <c r="K96" s="1084"/>
      <c r="L96" s="1087"/>
      <c r="M96" s="1084"/>
      <c r="O96" s="1084"/>
      <c r="P96" s="1084"/>
      <c r="Q96" s="1077"/>
      <c r="R96" s="1084"/>
      <c r="S96" s="1084"/>
      <c r="T96" s="1084"/>
      <c r="U96" s="1077"/>
      <c r="V96" s="1084"/>
      <c r="W96" s="1084"/>
      <c r="X96" s="1084"/>
      <c r="Y96" s="1084"/>
      <c r="Z96" s="1084"/>
    </row>
    <row r="97" spans="2:26">
      <c r="B97" s="1084"/>
      <c r="C97" s="1085"/>
      <c r="D97" s="1086"/>
      <c r="E97" s="1086"/>
      <c r="F97" s="1087"/>
      <c r="G97" s="1084"/>
      <c r="I97" s="1088"/>
      <c r="J97" s="1084"/>
      <c r="K97" s="1084"/>
      <c r="L97" s="1087"/>
      <c r="M97" s="1084"/>
      <c r="O97" s="1084"/>
      <c r="P97" s="1084"/>
      <c r="Q97" s="1077"/>
      <c r="R97" s="1084"/>
      <c r="S97" s="1084"/>
      <c r="T97" s="1084"/>
      <c r="U97" s="1077"/>
      <c r="V97" s="1084"/>
      <c r="W97" s="1084"/>
      <c r="X97" s="1084"/>
      <c r="Y97" s="1084"/>
      <c r="Z97" s="1084"/>
    </row>
    <row r="98" spans="2:26">
      <c r="B98" s="1084"/>
      <c r="C98" s="1085"/>
      <c r="D98" s="1086"/>
      <c r="E98" s="1086"/>
      <c r="F98" s="1087"/>
      <c r="G98" s="1084"/>
      <c r="I98" s="1088"/>
      <c r="J98" s="1084"/>
      <c r="K98" s="1084"/>
      <c r="L98" s="1087"/>
      <c r="M98" s="1084"/>
      <c r="O98" s="1084"/>
      <c r="P98" s="1084"/>
      <c r="Q98" s="1077"/>
      <c r="R98" s="1084"/>
      <c r="S98" s="1084"/>
      <c r="T98" s="1084"/>
      <c r="U98" s="1077"/>
      <c r="V98" s="1084"/>
      <c r="W98" s="1084"/>
      <c r="X98" s="1084"/>
      <c r="Y98" s="1084"/>
      <c r="Z98" s="1084"/>
    </row>
    <row r="99" spans="2:26">
      <c r="B99" s="1084"/>
      <c r="C99" s="1085"/>
      <c r="D99" s="1086"/>
      <c r="E99" s="1086"/>
      <c r="F99" s="1087"/>
      <c r="G99" s="1084"/>
      <c r="I99" s="1088"/>
      <c r="J99" s="1084"/>
      <c r="K99" s="1084"/>
      <c r="L99" s="1087"/>
      <c r="M99" s="1084"/>
      <c r="O99" s="1084"/>
      <c r="P99" s="1084"/>
      <c r="Q99" s="1077"/>
      <c r="R99" s="1084"/>
      <c r="S99" s="1084"/>
      <c r="T99" s="1084"/>
      <c r="U99" s="1077"/>
      <c r="V99" s="1084"/>
      <c r="W99" s="1084"/>
      <c r="X99" s="1084"/>
      <c r="Y99" s="1084"/>
      <c r="Z99" s="1084"/>
    </row>
    <row r="100" spans="2:26">
      <c r="B100" s="1084"/>
      <c r="C100" s="1085"/>
      <c r="D100" s="1086"/>
      <c r="E100" s="1086"/>
      <c r="F100" s="1087"/>
      <c r="G100" s="1084"/>
      <c r="I100" s="1088"/>
      <c r="J100" s="1084"/>
      <c r="K100" s="1084"/>
      <c r="L100" s="1087"/>
      <c r="M100" s="1084"/>
      <c r="O100" s="1084"/>
      <c r="P100" s="1084"/>
      <c r="Q100" s="1077"/>
      <c r="R100" s="1084"/>
      <c r="S100" s="1084"/>
      <c r="T100" s="1084"/>
      <c r="U100" s="1077"/>
      <c r="V100" s="1084"/>
      <c r="W100" s="1084"/>
      <c r="X100" s="1084"/>
      <c r="Y100" s="1084"/>
      <c r="Z100" s="1084"/>
    </row>
    <row r="101" spans="2:26">
      <c r="B101" s="1084"/>
      <c r="C101" s="1085"/>
      <c r="D101" s="1086"/>
      <c r="E101" s="1086"/>
      <c r="F101" s="1087"/>
      <c r="G101" s="1084"/>
      <c r="I101" s="1088"/>
      <c r="J101" s="1084"/>
      <c r="K101" s="1084"/>
      <c r="L101" s="1087"/>
      <c r="M101" s="1084"/>
      <c r="O101" s="1084"/>
      <c r="P101" s="1084"/>
      <c r="Q101" s="1077"/>
      <c r="R101" s="1084"/>
      <c r="S101" s="1084"/>
      <c r="T101" s="1084"/>
      <c r="U101" s="1077"/>
      <c r="V101" s="1084"/>
      <c r="W101" s="1084"/>
      <c r="X101" s="1084"/>
      <c r="Y101" s="1084"/>
      <c r="Z101" s="1084"/>
    </row>
    <row r="102" spans="2:26">
      <c r="B102" s="1084"/>
      <c r="C102" s="1085"/>
      <c r="D102" s="1086"/>
      <c r="E102" s="1086"/>
      <c r="F102" s="1087"/>
      <c r="G102" s="1084"/>
      <c r="I102" s="1088"/>
      <c r="J102" s="1084"/>
      <c r="K102" s="1084"/>
      <c r="L102" s="1087"/>
      <c r="M102" s="1084"/>
      <c r="O102" s="1084"/>
      <c r="P102" s="1084"/>
      <c r="Q102" s="1077"/>
      <c r="R102" s="1084"/>
      <c r="S102" s="1084"/>
      <c r="T102" s="1084"/>
      <c r="U102" s="1077"/>
      <c r="V102" s="1084"/>
      <c r="W102" s="1084"/>
      <c r="X102" s="1084"/>
      <c r="Y102" s="1084"/>
      <c r="Z102" s="1084"/>
    </row>
    <row r="103" spans="2:26">
      <c r="B103" s="1084"/>
      <c r="C103" s="1085"/>
      <c r="D103" s="1086"/>
      <c r="E103" s="1086"/>
      <c r="F103" s="1087"/>
      <c r="G103" s="1084"/>
      <c r="I103" s="1088"/>
      <c r="J103" s="1084"/>
      <c r="K103" s="1084"/>
      <c r="L103" s="1087"/>
      <c r="M103" s="1084"/>
      <c r="O103" s="1084"/>
      <c r="P103" s="1084"/>
      <c r="Q103" s="1077"/>
      <c r="R103" s="1084"/>
      <c r="S103" s="1084"/>
      <c r="T103" s="1084"/>
      <c r="U103" s="1077"/>
      <c r="V103" s="1084"/>
      <c r="W103" s="1084"/>
      <c r="X103" s="1084"/>
      <c r="Y103" s="1084"/>
      <c r="Z103" s="1084"/>
    </row>
    <row r="104" spans="2:26">
      <c r="B104" s="1084"/>
      <c r="C104" s="1085"/>
      <c r="D104" s="1086"/>
      <c r="E104" s="1086"/>
      <c r="F104" s="1087"/>
      <c r="G104" s="1084"/>
      <c r="I104" s="1088"/>
      <c r="J104" s="1084"/>
      <c r="K104" s="1084"/>
      <c r="L104" s="1087"/>
      <c r="M104" s="1084"/>
      <c r="O104" s="1084"/>
      <c r="P104" s="1084"/>
      <c r="Q104" s="1077"/>
      <c r="R104" s="1084"/>
      <c r="S104" s="1084"/>
      <c r="T104" s="1084"/>
      <c r="U104" s="1077"/>
      <c r="V104" s="1084"/>
      <c r="W104" s="1084"/>
      <c r="X104" s="1084"/>
      <c r="Y104" s="1084"/>
      <c r="Z104" s="1084"/>
    </row>
    <row r="105" spans="2:26">
      <c r="B105" s="1084"/>
      <c r="C105" s="1085"/>
      <c r="D105" s="1086"/>
      <c r="E105" s="1086"/>
      <c r="F105" s="1087"/>
      <c r="G105" s="1084"/>
      <c r="I105" s="1088"/>
      <c r="J105" s="1084"/>
      <c r="K105" s="1084"/>
      <c r="L105" s="1087"/>
      <c r="M105" s="1084"/>
      <c r="O105" s="1084"/>
      <c r="P105" s="1084"/>
      <c r="Q105" s="1077"/>
      <c r="R105" s="1084"/>
      <c r="S105" s="1084"/>
      <c r="T105" s="1084"/>
      <c r="U105" s="1077"/>
      <c r="V105" s="1084"/>
      <c r="W105" s="1084"/>
      <c r="X105" s="1084"/>
      <c r="Y105" s="1084"/>
      <c r="Z105" s="1084"/>
    </row>
    <row r="106" spans="2:26">
      <c r="B106" s="1084"/>
      <c r="C106" s="1085"/>
      <c r="D106" s="1086"/>
      <c r="E106" s="1086"/>
      <c r="F106" s="1087"/>
      <c r="G106" s="1084"/>
      <c r="I106" s="1088"/>
      <c r="J106" s="1084"/>
      <c r="K106" s="1084"/>
      <c r="L106" s="1087"/>
      <c r="M106" s="1084"/>
      <c r="O106" s="1084"/>
      <c r="P106" s="1084"/>
      <c r="Q106" s="1077"/>
      <c r="R106" s="1084"/>
      <c r="S106" s="1084"/>
      <c r="T106" s="1084"/>
      <c r="U106" s="1077"/>
      <c r="V106" s="1084"/>
      <c r="W106" s="1084"/>
      <c r="X106" s="1084"/>
      <c r="Y106" s="1084"/>
      <c r="Z106" s="1084"/>
    </row>
    <row r="107" spans="2:26">
      <c r="B107" s="1084"/>
      <c r="C107" s="1085"/>
      <c r="D107" s="1086"/>
      <c r="E107" s="1086"/>
      <c r="F107" s="1087"/>
      <c r="G107" s="1084"/>
      <c r="I107" s="1088"/>
      <c r="J107" s="1084"/>
      <c r="K107" s="1084"/>
      <c r="L107" s="1087"/>
      <c r="M107" s="1084"/>
      <c r="O107" s="1084"/>
      <c r="P107" s="1084"/>
      <c r="Q107" s="1077"/>
      <c r="R107" s="1084"/>
      <c r="S107" s="1084"/>
      <c r="T107" s="1084"/>
      <c r="U107" s="1077"/>
      <c r="V107" s="1084"/>
      <c r="W107" s="1084"/>
      <c r="X107" s="1084"/>
      <c r="Y107" s="1084"/>
      <c r="Z107" s="1084"/>
    </row>
    <row r="108" spans="2:26">
      <c r="B108" s="1084"/>
      <c r="C108" s="1085"/>
      <c r="D108" s="1086"/>
      <c r="E108" s="1086"/>
      <c r="F108" s="1087"/>
      <c r="G108" s="1084"/>
      <c r="I108" s="1088"/>
      <c r="J108" s="1084"/>
      <c r="K108" s="1084"/>
      <c r="L108" s="1087"/>
      <c r="M108" s="1084"/>
      <c r="O108" s="1084"/>
      <c r="P108" s="1084"/>
      <c r="Q108" s="1077"/>
      <c r="R108" s="1084"/>
      <c r="S108" s="1084"/>
      <c r="T108" s="1084"/>
      <c r="U108" s="1077"/>
      <c r="V108" s="1084"/>
      <c r="W108" s="1084"/>
      <c r="X108" s="1084"/>
      <c r="Y108" s="1084"/>
      <c r="Z108" s="1084"/>
    </row>
    <row r="109" spans="2:26">
      <c r="B109" s="1084"/>
      <c r="C109" s="1085"/>
      <c r="D109" s="1086"/>
      <c r="E109" s="1086"/>
      <c r="F109" s="1087"/>
      <c r="G109" s="1084"/>
      <c r="I109" s="1088"/>
      <c r="J109" s="1084"/>
      <c r="K109" s="1084"/>
      <c r="L109" s="1087"/>
      <c r="M109" s="1084"/>
      <c r="O109" s="1084"/>
      <c r="P109" s="1084"/>
      <c r="Q109" s="1077"/>
      <c r="R109" s="1084"/>
      <c r="S109" s="1084"/>
      <c r="T109" s="1084"/>
      <c r="U109" s="1077"/>
      <c r="V109" s="1084"/>
      <c r="W109" s="1084"/>
      <c r="X109" s="1084"/>
      <c r="Y109" s="1084"/>
      <c r="Z109" s="1084"/>
    </row>
    <row r="110" spans="2:26">
      <c r="B110" s="1084"/>
      <c r="C110" s="1085"/>
      <c r="D110" s="1086"/>
      <c r="E110" s="1086"/>
      <c r="F110" s="1087"/>
      <c r="G110" s="1084"/>
      <c r="I110" s="1088"/>
      <c r="J110" s="1084"/>
      <c r="K110" s="1084"/>
      <c r="L110" s="1087"/>
      <c r="M110" s="1084"/>
      <c r="O110" s="1084"/>
      <c r="P110" s="1084"/>
      <c r="Q110" s="1077"/>
      <c r="R110" s="1084"/>
      <c r="S110" s="1084"/>
      <c r="T110" s="1084"/>
      <c r="U110" s="1077"/>
      <c r="V110" s="1084"/>
      <c r="W110" s="1084"/>
      <c r="X110" s="1084"/>
      <c r="Y110" s="1084"/>
      <c r="Z110" s="1084"/>
    </row>
    <row r="111" spans="2:26">
      <c r="B111" s="1084"/>
      <c r="C111" s="1085"/>
      <c r="D111" s="1086"/>
      <c r="E111" s="1086"/>
      <c r="F111" s="1087"/>
      <c r="G111" s="1084"/>
      <c r="I111" s="1088"/>
      <c r="J111" s="1084"/>
      <c r="K111" s="1084"/>
      <c r="L111" s="1087"/>
      <c r="M111" s="1084"/>
      <c r="O111" s="1084"/>
      <c r="P111" s="1084"/>
      <c r="Q111" s="1077"/>
      <c r="R111" s="1084"/>
      <c r="S111" s="1084"/>
      <c r="T111" s="1084"/>
      <c r="U111" s="1077"/>
      <c r="V111" s="1084"/>
      <c r="W111" s="1084"/>
      <c r="X111" s="1084"/>
      <c r="Y111" s="1084"/>
      <c r="Z111" s="1084"/>
    </row>
    <row r="112" spans="2:26">
      <c r="B112" s="1084"/>
      <c r="C112" s="1085"/>
      <c r="D112" s="1086"/>
      <c r="E112" s="1086"/>
      <c r="F112" s="1087"/>
      <c r="G112" s="1084"/>
      <c r="I112" s="1088"/>
      <c r="J112" s="1084"/>
      <c r="K112" s="1084"/>
      <c r="L112" s="1087"/>
      <c r="M112" s="1084"/>
      <c r="O112" s="1084"/>
      <c r="P112" s="1084"/>
      <c r="Q112" s="1077"/>
      <c r="R112" s="1084"/>
      <c r="S112" s="1084"/>
      <c r="T112" s="1084"/>
      <c r="U112" s="1077"/>
      <c r="V112" s="1084"/>
      <c r="W112" s="1084"/>
      <c r="X112" s="1084"/>
      <c r="Y112" s="1084"/>
      <c r="Z112" s="1084"/>
    </row>
    <row r="113" spans="2:26">
      <c r="B113" s="1084"/>
      <c r="C113" s="1085"/>
      <c r="D113" s="1086"/>
      <c r="E113" s="1086"/>
      <c r="F113" s="1087"/>
      <c r="G113" s="1084"/>
      <c r="I113" s="1088"/>
      <c r="J113" s="1084"/>
      <c r="K113" s="1084"/>
      <c r="L113" s="1087"/>
      <c r="M113" s="1084"/>
      <c r="O113" s="1084"/>
      <c r="P113" s="1084"/>
      <c r="Q113" s="1077"/>
      <c r="R113" s="1084"/>
      <c r="S113" s="1084"/>
      <c r="T113" s="1084"/>
      <c r="U113" s="1077"/>
      <c r="V113" s="1084"/>
      <c r="W113" s="1084"/>
      <c r="X113" s="1084"/>
      <c r="Y113" s="1084"/>
      <c r="Z113" s="1084"/>
    </row>
    <row r="114" spans="2:26">
      <c r="B114" s="1084"/>
      <c r="C114" s="1085"/>
      <c r="D114" s="1086"/>
      <c r="E114" s="1086"/>
      <c r="F114" s="1087"/>
      <c r="G114" s="1084"/>
      <c r="I114" s="1088"/>
      <c r="J114" s="1084"/>
      <c r="K114" s="1084"/>
      <c r="L114" s="1087"/>
      <c r="M114" s="1084"/>
      <c r="O114" s="1084"/>
      <c r="P114" s="1084"/>
      <c r="Q114" s="1077"/>
      <c r="R114" s="1084"/>
      <c r="S114" s="1084"/>
      <c r="T114" s="1084"/>
      <c r="U114" s="1077"/>
      <c r="V114" s="1084"/>
      <c r="W114" s="1084"/>
      <c r="X114" s="1084"/>
      <c r="Y114" s="1084"/>
      <c r="Z114" s="1084"/>
    </row>
    <row r="115" spans="2:26">
      <c r="B115" s="1084"/>
      <c r="C115" s="1085"/>
      <c r="D115" s="1086"/>
      <c r="E115" s="1086"/>
      <c r="F115" s="1087"/>
      <c r="G115" s="1084"/>
      <c r="I115" s="1088"/>
      <c r="J115" s="1084"/>
      <c r="K115" s="1084"/>
      <c r="L115" s="1087"/>
      <c r="M115" s="1084"/>
      <c r="O115" s="1084"/>
      <c r="P115" s="1084"/>
      <c r="Q115" s="1077"/>
      <c r="R115" s="1084"/>
      <c r="S115" s="1084"/>
      <c r="T115" s="1084"/>
      <c r="U115" s="1077"/>
      <c r="V115" s="1084"/>
      <c r="W115" s="1084"/>
      <c r="X115" s="1084"/>
      <c r="Y115" s="1084"/>
      <c r="Z115" s="1084"/>
    </row>
    <row r="116" spans="2:26">
      <c r="B116" s="1084"/>
      <c r="C116" s="1085"/>
      <c r="D116" s="1086"/>
      <c r="E116" s="1086"/>
      <c r="F116" s="1087"/>
      <c r="G116" s="1084"/>
      <c r="I116" s="1088"/>
      <c r="J116" s="1084"/>
      <c r="K116" s="1084"/>
      <c r="L116" s="1087"/>
      <c r="M116" s="1084"/>
      <c r="O116" s="1084"/>
      <c r="P116" s="1084"/>
      <c r="Q116" s="1077"/>
      <c r="R116" s="1084"/>
      <c r="S116" s="1084"/>
      <c r="T116" s="1084"/>
      <c r="U116" s="1077"/>
      <c r="V116" s="1084"/>
      <c r="W116" s="1084"/>
      <c r="X116" s="1084"/>
      <c r="Y116" s="1084"/>
      <c r="Z116" s="1084"/>
    </row>
    <row r="117" spans="2:26">
      <c r="B117" s="1084"/>
      <c r="C117" s="1085"/>
      <c r="D117" s="1086"/>
      <c r="E117" s="1086"/>
      <c r="F117" s="1087"/>
      <c r="G117" s="1084"/>
      <c r="I117" s="1088"/>
      <c r="J117" s="1084"/>
      <c r="K117" s="1084"/>
      <c r="L117" s="1087"/>
      <c r="M117" s="1084"/>
      <c r="O117" s="1084"/>
      <c r="P117" s="1084"/>
      <c r="Q117" s="1077"/>
      <c r="R117" s="1084"/>
      <c r="S117" s="1084"/>
      <c r="T117" s="1084"/>
      <c r="U117" s="1077"/>
      <c r="V117" s="1084"/>
      <c r="W117" s="1084"/>
      <c r="X117" s="1084"/>
      <c r="Y117" s="1084"/>
      <c r="Z117" s="1084"/>
    </row>
    <row r="118" spans="2:26">
      <c r="B118" s="1084"/>
      <c r="C118" s="1085"/>
      <c r="D118" s="1086"/>
      <c r="E118" s="1086"/>
      <c r="F118" s="1087"/>
      <c r="G118" s="1084"/>
      <c r="I118" s="1088"/>
      <c r="J118" s="1084"/>
      <c r="K118" s="1084"/>
      <c r="L118" s="1087"/>
      <c r="M118" s="1084"/>
      <c r="O118" s="1084"/>
      <c r="P118" s="1084"/>
      <c r="Q118" s="1077"/>
      <c r="R118" s="1084"/>
      <c r="S118" s="1084"/>
      <c r="T118" s="1084"/>
      <c r="U118" s="1077"/>
      <c r="V118" s="1084"/>
      <c r="W118" s="1084"/>
      <c r="X118" s="1084"/>
      <c r="Y118" s="1084"/>
      <c r="Z118" s="1084"/>
    </row>
    <row r="119" spans="2:26">
      <c r="B119" s="1084"/>
      <c r="C119" s="1085"/>
      <c r="D119" s="1086"/>
      <c r="E119" s="1086"/>
      <c r="F119" s="1087"/>
      <c r="G119" s="1084"/>
      <c r="I119" s="1088"/>
      <c r="J119" s="1084"/>
      <c r="K119" s="1084"/>
      <c r="L119" s="1087"/>
      <c r="M119" s="1084"/>
      <c r="O119" s="1084"/>
      <c r="P119" s="1084"/>
      <c r="Q119" s="1077"/>
      <c r="R119" s="1084"/>
      <c r="S119" s="1084"/>
      <c r="T119" s="1084"/>
      <c r="U119" s="1077"/>
      <c r="V119" s="1084"/>
      <c r="W119" s="1084"/>
      <c r="X119" s="1084"/>
      <c r="Y119" s="1084"/>
      <c r="Z119" s="1084"/>
    </row>
    <row r="120" spans="2:26">
      <c r="B120" s="1084"/>
      <c r="C120" s="1085"/>
      <c r="D120" s="1086"/>
      <c r="E120" s="1086"/>
      <c r="F120" s="1087"/>
      <c r="G120" s="1084"/>
      <c r="I120" s="1088"/>
      <c r="J120" s="1084"/>
      <c r="K120" s="1084"/>
      <c r="L120" s="1087"/>
      <c r="M120" s="1084"/>
      <c r="O120" s="1084"/>
      <c r="P120" s="1084"/>
      <c r="Q120" s="1077"/>
      <c r="R120" s="1084"/>
      <c r="S120" s="1084"/>
      <c r="T120" s="1084"/>
      <c r="U120" s="1077"/>
      <c r="V120" s="1084"/>
      <c r="W120" s="1084"/>
      <c r="X120" s="1084"/>
      <c r="Y120" s="1084"/>
      <c r="Z120" s="1084"/>
    </row>
    <row r="121" spans="2:26">
      <c r="B121" s="1084"/>
      <c r="C121" s="1085"/>
      <c r="D121" s="1086"/>
      <c r="E121" s="1086"/>
      <c r="F121" s="1087"/>
      <c r="G121" s="1084"/>
      <c r="I121" s="1088"/>
      <c r="J121" s="1084"/>
      <c r="K121" s="1084"/>
      <c r="L121" s="1087"/>
      <c r="M121" s="1084"/>
      <c r="O121" s="1084"/>
      <c r="P121" s="1084"/>
      <c r="Q121" s="1077"/>
      <c r="R121" s="1084"/>
      <c r="S121" s="1084"/>
      <c r="T121" s="1084"/>
      <c r="U121" s="1077"/>
      <c r="V121" s="1084"/>
      <c r="W121" s="1084"/>
      <c r="X121" s="1084"/>
      <c r="Y121" s="1084"/>
      <c r="Z121" s="1084"/>
    </row>
    <row r="122" spans="2:26">
      <c r="B122" s="1084"/>
      <c r="C122" s="1085"/>
      <c r="D122" s="1086"/>
      <c r="E122" s="1086"/>
      <c r="F122" s="1087"/>
      <c r="G122" s="1084"/>
      <c r="I122" s="1088"/>
      <c r="J122" s="1084"/>
      <c r="K122" s="1084"/>
      <c r="L122" s="1087"/>
      <c r="M122" s="1084"/>
      <c r="O122" s="1084"/>
      <c r="P122" s="1084"/>
      <c r="Q122" s="1077"/>
      <c r="R122" s="1084"/>
      <c r="S122" s="1084"/>
      <c r="T122" s="1084"/>
      <c r="U122" s="1077"/>
      <c r="V122" s="1084"/>
      <c r="W122" s="1084"/>
      <c r="X122" s="1084"/>
      <c r="Y122" s="1084"/>
      <c r="Z122" s="1084"/>
    </row>
    <row r="123" spans="2:26">
      <c r="B123" s="1084"/>
      <c r="C123" s="1085"/>
      <c r="D123" s="1086"/>
      <c r="E123" s="1086"/>
      <c r="F123" s="1087"/>
      <c r="G123" s="1084"/>
      <c r="I123" s="1088"/>
      <c r="J123" s="1084"/>
      <c r="K123" s="1084"/>
      <c r="L123" s="1087"/>
      <c r="M123" s="1084"/>
      <c r="O123" s="1084"/>
      <c r="P123" s="1084"/>
      <c r="Q123" s="1077"/>
      <c r="R123" s="1084"/>
      <c r="S123" s="1084"/>
      <c r="T123" s="1084"/>
      <c r="U123" s="1077"/>
      <c r="V123" s="1084"/>
      <c r="W123" s="1084"/>
      <c r="X123" s="1084"/>
      <c r="Y123" s="1084"/>
      <c r="Z123" s="1084"/>
    </row>
    <row r="124" spans="2:26">
      <c r="B124" s="1084"/>
      <c r="C124" s="1085"/>
      <c r="D124" s="1086"/>
      <c r="E124" s="1086"/>
      <c r="F124" s="1087"/>
      <c r="G124" s="1084"/>
      <c r="I124" s="1088"/>
      <c r="J124" s="1084"/>
      <c r="K124" s="1084"/>
      <c r="L124" s="1087"/>
      <c r="M124" s="1084"/>
      <c r="O124" s="1084"/>
      <c r="P124" s="1084"/>
      <c r="Q124" s="1077"/>
      <c r="R124" s="1084"/>
      <c r="S124" s="1084"/>
      <c r="T124" s="1084"/>
      <c r="U124" s="1077"/>
      <c r="V124" s="1084"/>
      <c r="W124" s="1084"/>
      <c r="X124" s="1084"/>
      <c r="Y124" s="1084"/>
      <c r="Z124" s="1084"/>
    </row>
    <row r="125" spans="2:26">
      <c r="B125" s="1084"/>
      <c r="C125" s="1085"/>
      <c r="D125" s="1086"/>
      <c r="E125" s="1086"/>
      <c r="F125" s="1087"/>
      <c r="G125" s="1084"/>
      <c r="I125" s="1088"/>
      <c r="J125" s="1084"/>
      <c r="K125" s="1084"/>
      <c r="L125" s="1087"/>
      <c r="M125" s="1084"/>
      <c r="O125" s="1084"/>
      <c r="P125" s="1084"/>
      <c r="Q125" s="1077"/>
      <c r="R125" s="1084"/>
      <c r="S125" s="1084"/>
      <c r="T125" s="1084"/>
      <c r="U125" s="1077"/>
      <c r="V125" s="1084"/>
      <c r="W125" s="1084"/>
      <c r="X125" s="1084"/>
      <c r="Y125" s="1084"/>
      <c r="Z125" s="1084"/>
    </row>
    <row r="126" spans="2:26">
      <c r="B126" s="1084"/>
      <c r="C126" s="1085"/>
      <c r="D126" s="1086"/>
      <c r="E126" s="1086"/>
      <c r="F126" s="1087"/>
      <c r="G126" s="1084"/>
      <c r="I126" s="1088"/>
      <c r="J126" s="1084"/>
      <c r="K126" s="1084"/>
      <c r="L126" s="1087"/>
      <c r="M126" s="1084"/>
      <c r="O126" s="1084"/>
      <c r="P126" s="1084"/>
      <c r="Q126" s="1077"/>
      <c r="R126" s="1084"/>
      <c r="S126" s="1084"/>
      <c r="T126" s="1084"/>
      <c r="U126" s="1077"/>
      <c r="V126" s="1084"/>
      <c r="W126" s="1084"/>
      <c r="X126" s="1084"/>
      <c r="Y126" s="1084"/>
      <c r="Z126" s="1084"/>
    </row>
    <row r="127" spans="2:26">
      <c r="B127" s="1084"/>
      <c r="C127" s="1085"/>
      <c r="D127" s="1086"/>
      <c r="E127" s="1086"/>
      <c r="F127" s="1087"/>
      <c r="G127" s="1084"/>
      <c r="I127" s="1088"/>
      <c r="J127" s="1084"/>
      <c r="K127" s="1084"/>
      <c r="L127" s="1087"/>
      <c r="M127" s="1084"/>
      <c r="O127" s="1084"/>
      <c r="P127" s="1084"/>
      <c r="Q127" s="1077"/>
      <c r="R127" s="1084"/>
      <c r="S127" s="1084"/>
      <c r="T127" s="1084"/>
      <c r="U127" s="1077"/>
      <c r="V127" s="1084"/>
      <c r="W127" s="1084"/>
      <c r="X127" s="1084"/>
      <c r="Y127" s="1084"/>
      <c r="Z127" s="1084"/>
    </row>
    <row r="128" spans="2:26">
      <c r="B128" s="1084"/>
      <c r="C128" s="1085"/>
      <c r="D128" s="1086"/>
      <c r="E128" s="1086"/>
      <c r="F128" s="1087"/>
      <c r="G128" s="1084"/>
      <c r="I128" s="1088"/>
      <c r="J128" s="1084"/>
      <c r="K128" s="1084"/>
      <c r="L128" s="1087"/>
      <c r="M128" s="1084"/>
      <c r="O128" s="1084"/>
      <c r="P128" s="1084"/>
      <c r="Q128" s="1077"/>
      <c r="R128" s="1084"/>
      <c r="S128" s="1084"/>
      <c r="T128" s="1084"/>
      <c r="U128" s="1077"/>
      <c r="V128" s="1084"/>
      <c r="W128" s="1084"/>
      <c r="X128" s="1084"/>
      <c r="Y128" s="1084"/>
      <c r="Z128" s="1084"/>
    </row>
    <row r="129" spans="2:26">
      <c r="B129" s="1084"/>
      <c r="C129" s="1085"/>
      <c r="D129" s="1086"/>
      <c r="E129" s="1086"/>
      <c r="F129" s="1087"/>
      <c r="G129" s="1084"/>
      <c r="I129" s="1088"/>
      <c r="J129" s="1084"/>
      <c r="K129" s="1084"/>
      <c r="L129" s="1087"/>
      <c r="M129" s="1084"/>
      <c r="O129" s="1084"/>
      <c r="P129" s="1084"/>
      <c r="Q129" s="1077"/>
      <c r="R129" s="1084"/>
      <c r="S129" s="1084"/>
      <c r="T129" s="1084"/>
      <c r="U129" s="1077"/>
      <c r="V129" s="1084"/>
      <c r="W129" s="1084"/>
      <c r="X129" s="1084"/>
      <c r="Y129" s="1084"/>
      <c r="Z129" s="1084"/>
    </row>
    <row r="130" spans="2:26">
      <c r="B130" s="1084"/>
      <c r="C130" s="1085"/>
      <c r="D130" s="1086"/>
      <c r="E130" s="1086"/>
      <c r="F130" s="1087"/>
      <c r="G130" s="1084"/>
      <c r="I130" s="1088"/>
      <c r="J130" s="1084"/>
      <c r="K130" s="1084"/>
      <c r="L130" s="1087"/>
      <c r="M130" s="1084"/>
      <c r="O130" s="1084"/>
      <c r="P130" s="1084"/>
      <c r="Q130" s="1077"/>
      <c r="R130" s="1084"/>
      <c r="S130" s="1084"/>
      <c r="T130" s="1084"/>
      <c r="U130" s="1077"/>
      <c r="V130" s="1084"/>
      <c r="W130" s="1084"/>
      <c r="X130" s="1084"/>
      <c r="Y130" s="1084"/>
      <c r="Z130" s="1084"/>
    </row>
    <row r="131" spans="2:26">
      <c r="B131" s="1084"/>
      <c r="C131" s="1085"/>
      <c r="D131" s="1086"/>
      <c r="E131" s="1086"/>
      <c r="F131" s="1087"/>
      <c r="G131" s="1084"/>
      <c r="I131" s="1088"/>
      <c r="J131" s="1084"/>
      <c r="K131" s="1084"/>
      <c r="L131" s="1087"/>
      <c r="M131" s="1084"/>
      <c r="O131" s="1084"/>
      <c r="P131" s="1084"/>
      <c r="Q131" s="1077"/>
      <c r="R131" s="1084"/>
      <c r="S131" s="1084"/>
      <c r="T131" s="1084"/>
      <c r="U131" s="1077"/>
      <c r="V131" s="1084"/>
      <c r="W131" s="1084"/>
      <c r="X131" s="1084"/>
      <c r="Y131" s="1084"/>
      <c r="Z131" s="1084"/>
    </row>
    <row r="132" spans="2:26">
      <c r="B132" s="1084"/>
      <c r="C132" s="1085"/>
      <c r="D132" s="1086"/>
      <c r="E132" s="1086"/>
      <c r="F132" s="1087"/>
      <c r="G132" s="1084"/>
      <c r="I132" s="1088"/>
      <c r="J132" s="1084"/>
      <c r="K132" s="1084"/>
      <c r="L132" s="1087"/>
      <c r="M132" s="1084"/>
      <c r="O132" s="1084"/>
      <c r="P132" s="1084"/>
      <c r="Q132" s="1077"/>
      <c r="R132" s="1084"/>
      <c r="S132" s="1084"/>
      <c r="T132" s="1084"/>
      <c r="U132" s="1077"/>
      <c r="V132" s="1084"/>
      <c r="W132" s="1084"/>
      <c r="X132" s="1084"/>
      <c r="Y132" s="1084"/>
      <c r="Z132" s="1084"/>
    </row>
    <row r="133" spans="2:26">
      <c r="B133" s="1084"/>
      <c r="C133" s="1085"/>
      <c r="D133" s="1086"/>
      <c r="E133" s="1086"/>
      <c r="F133" s="1087"/>
      <c r="G133" s="1084"/>
      <c r="I133" s="1088"/>
      <c r="J133" s="1084"/>
      <c r="K133" s="1084"/>
      <c r="L133" s="1087"/>
      <c r="M133" s="1084"/>
      <c r="O133" s="1084"/>
      <c r="P133" s="1084"/>
      <c r="Q133" s="1077"/>
      <c r="R133" s="1084"/>
      <c r="S133" s="1084"/>
      <c r="T133" s="1084"/>
      <c r="U133" s="1077"/>
      <c r="V133" s="1084"/>
      <c r="W133" s="1084"/>
      <c r="X133" s="1084"/>
      <c r="Y133" s="1084"/>
      <c r="Z133" s="1084"/>
    </row>
    <row r="134" spans="2:26">
      <c r="B134" s="1084"/>
      <c r="C134" s="1085"/>
      <c r="D134" s="1086"/>
      <c r="E134" s="1086"/>
      <c r="F134" s="1087"/>
      <c r="G134" s="1084"/>
      <c r="I134" s="1088"/>
      <c r="J134" s="1084"/>
      <c r="K134" s="1084"/>
      <c r="L134" s="1087"/>
      <c r="M134" s="1084"/>
      <c r="O134" s="1084"/>
      <c r="P134" s="1084"/>
      <c r="Q134" s="1077"/>
      <c r="R134" s="1084"/>
      <c r="S134" s="1084"/>
      <c r="T134" s="1084"/>
      <c r="U134" s="1077"/>
      <c r="V134" s="1084"/>
      <c r="W134" s="1084"/>
      <c r="X134" s="1084"/>
      <c r="Y134" s="1084"/>
      <c r="Z134" s="1084"/>
    </row>
    <row r="135" spans="2:26">
      <c r="B135" s="1084"/>
      <c r="C135" s="1085"/>
      <c r="D135" s="1086"/>
      <c r="E135" s="1086"/>
      <c r="F135" s="1087"/>
      <c r="G135" s="1084"/>
      <c r="I135" s="1088"/>
      <c r="J135" s="1084"/>
      <c r="K135" s="1084"/>
      <c r="L135" s="1087"/>
      <c r="M135" s="1084"/>
      <c r="O135" s="1084"/>
      <c r="P135" s="1084"/>
      <c r="Q135" s="1077"/>
      <c r="R135" s="1084"/>
      <c r="S135" s="1084"/>
      <c r="T135" s="1084"/>
      <c r="U135" s="1077"/>
      <c r="V135" s="1084"/>
      <c r="W135" s="1084"/>
      <c r="X135" s="1084"/>
      <c r="Y135" s="1084"/>
      <c r="Z135" s="1084"/>
    </row>
    <row r="136" spans="2:26">
      <c r="B136" s="1084"/>
      <c r="C136" s="1085"/>
      <c r="D136" s="1086"/>
      <c r="E136" s="1086"/>
      <c r="F136" s="1087"/>
      <c r="G136" s="1084"/>
      <c r="I136" s="1088"/>
      <c r="J136" s="1084"/>
      <c r="K136" s="1084"/>
      <c r="L136" s="1087"/>
      <c r="M136" s="1084"/>
      <c r="O136" s="1084"/>
      <c r="P136" s="1084"/>
      <c r="Q136" s="1077"/>
      <c r="R136" s="1084"/>
      <c r="S136" s="1084"/>
      <c r="T136" s="1084"/>
      <c r="U136" s="1077"/>
      <c r="V136" s="1084"/>
      <c r="W136" s="1084"/>
      <c r="X136" s="1084"/>
      <c r="Y136" s="1084"/>
      <c r="Z136" s="1084"/>
    </row>
    <row r="137" spans="2:26">
      <c r="B137" s="1084"/>
      <c r="C137" s="1085"/>
      <c r="D137" s="1086"/>
      <c r="E137" s="1086"/>
      <c r="F137" s="1087"/>
      <c r="G137" s="1084"/>
      <c r="I137" s="1088"/>
      <c r="J137" s="1084"/>
      <c r="K137" s="1084"/>
      <c r="L137" s="1087"/>
      <c r="M137" s="1084"/>
      <c r="O137" s="1084"/>
      <c r="P137" s="1084"/>
      <c r="Q137" s="1077"/>
      <c r="R137" s="1084"/>
      <c r="S137" s="1084"/>
      <c r="T137" s="1084"/>
      <c r="U137" s="1077"/>
      <c r="V137" s="1084"/>
      <c r="W137" s="1084"/>
      <c r="X137" s="1084"/>
      <c r="Y137" s="1084"/>
      <c r="Z137" s="1084"/>
    </row>
    <row r="138" spans="2:26">
      <c r="B138" s="1084"/>
      <c r="C138" s="1085"/>
      <c r="D138" s="1086"/>
      <c r="E138" s="1086"/>
      <c r="F138" s="1087"/>
      <c r="G138" s="1084"/>
      <c r="I138" s="1088"/>
      <c r="J138" s="1084"/>
      <c r="K138" s="1084"/>
      <c r="L138" s="1087"/>
      <c r="M138" s="1084"/>
      <c r="O138" s="1084"/>
      <c r="P138" s="1084"/>
      <c r="Q138" s="1077"/>
      <c r="R138" s="1084"/>
      <c r="S138" s="1084"/>
      <c r="T138" s="1084"/>
      <c r="U138" s="1077"/>
      <c r="V138" s="1084"/>
      <c r="W138" s="1084"/>
      <c r="X138" s="1084"/>
      <c r="Y138" s="1084"/>
      <c r="Z138" s="1084"/>
    </row>
    <row r="139" spans="2:26">
      <c r="B139" s="1084"/>
      <c r="C139" s="1085"/>
      <c r="D139" s="1086"/>
      <c r="E139" s="1086"/>
      <c r="F139" s="1087"/>
      <c r="G139" s="1084"/>
      <c r="I139" s="1088"/>
      <c r="J139" s="1084"/>
      <c r="K139" s="1084"/>
      <c r="L139" s="1087"/>
      <c r="M139" s="1084"/>
      <c r="O139" s="1084"/>
      <c r="P139" s="1084"/>
      <c r="Q139" s="1077"/>
      <c r="R139" s="1084"/>
      <c r="S139" s="1084"/>
      <c r="T139" s="1084"/>
      <c r="U139" s="1077"/>
      <c r="V139" s="1084"/>
      <c r="W139" s="1084"/>
      <c r="X139" s="1084"/>
      <c r="Y139" s="1084"/>
      <c r="Z139" s="1084"/>
    </row>
  </sheetData>
  <autoFilter ref="A3:Z3" xr:uid="{58361A64-E82F-4824-8FAD-D265AC86B931}"/>
  <sortState xmlns:xlrd2="http://schemas.microsoft.com/office/spreadsheetml/2017/richdata2" ref="A4:Z7">
    <sortCondition ref="A4:A7"/>
  </sortState>
  <dataConsolidate/>
  <mergeCells count="2">
    <mergeCell ref="AI1:AK1"/>
    <mergeCell ref="AM1:AO1"/>
  </mergeCells>
  <printOptions headings="1"/>
  <pageMargins left="0.7" right="0.7" top="0.75" bottom="0.75" header="0.3" footer="0.3"/>
  <pageSetup paperSize="3" orientation="landscape"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79208" r:id="rId4" name="Button 8">
              <controlPr defaultSize="0" print="0" autoFill="0" autoPict="0" macro="[0]!Build_Comp_By_Comp_Comparison">
                <anchor moveWithCells="1" sizeWithCells="1">
                  <from>
                    <xdr:col>26</xdr:col>
                    <xdr:colOff>68580</xdr:colOff>
                    <xdr:row>0</xdr:row>
                    <xdr:rowOff>38100</xdr:rowOff>
                  </from>
                  <to>
                    <xdr:col>26</xdr:col>
                    <xdr:colOff>1341120</xdr:colOff>
                    <xdr:row>3</xdr:row>
                    <xdr:rowOff>0</xdr:rowOff>
                  </to>
                </anchor>
              </controlPr>
            </control>
          </mc:Choice>
        </mc:AlternateContent>
        <mc:AlternateContent xmlns:mc="http://schemas.openxmlformats.org/markup-compatibility/2006">
          <mc:Choice Requires="x14">
            <control shapeId="179251" r:id="rId5" name="Check Box 51">
              <controlPr defaultSize="0" autoFill="0" autoLine="0" autoPict="0" macro="[0]!Apply_RivCoView_Overrides">
                <anchor moveWithCells="1">
                  <from>
                    <xdr:col>30</xdr:col>
                    <xdr:colOff>190500</xdr:colOff>
                    <xdr:row>2</xdr:row>
                    <xdr:rowOff>167640</xdr:rowOff>
                  </from>
                  <to>
                    <xdr:col>30</xdr:col>
                    <xdr:colOff>426720</xdr:colOff>
                    <xdr:row>4</xdr:row>
                    <xdr:rowOff>15240</xdr:rowOff>
                  </to>
                </anchor>
              </controlPr>
            </control>
          </mc:Choice>
        </mc:AlternateContent>
        <mc:AlternateContent xmlns:mc="http://schemas.openxmlformats.org/markup-compatibility/2006">
          <mc:Choice Requires="x14">
            <control shapeId="179252" r:id="rId6" name="Check Box 52">
              <controlPr defaultSize="0" autoFill="0" autoLine="0" autoPict="0" macro="[0]!Apply_RivCoView_Overrides">
                <anchor moveWithCells="1">
                  <from>
                    <xdr:col>30</xdr:col>
                    <xdr:colOff>190500</xdr:colOff>
                    <xdr:row>3</xdr:row>
                    <xdr:rowOff>167640</xdr:rowOff>
                  </from>
                  <to>
                    <xdr:col>30</xdr:col>
                    <xdr:colOff>426720</xdr:colOff>
                    <xdr:row>5</xdr:row>
                    <xdr:rowOff>15240</xdr:rowOff>
                  </to>
                </anchor>
              </controlPr>
            </control>
          </mc:Choice>
        </mc:AlternateContent>
        <mc:AlternateContent xmlns:mc="http://schemas.openxmlformats.org/markup-compatibility/2006">
          <mc:Choice Requires="x14">
            <control shapeId="179253" r:id="rId7" name="Check Box 53">
              <controlPr defaultSize="0" autoFill="0" autoLine="0" autoPict="0" macro="[0]!Apply_RivCoView_Overrides">
                <anchor moveWithCells="1">
                  <from>
                    <xdr:col>30</xdr:col>
                    <xdr:colOff>190500</xdr:colOff>
                    <xdr:row>4</xdr:row>
                    <xdr:rowOff>167640</xdr:rowOff>
                  </from>
                  <to>
                    <xdr:col>30</xdr:col>
                    <xdr:colOff>426720</xdr:colOff>
                    <xdr:row>6</xdr:row>
                    <xdr:rowOff>15240</xdr:rowOff>
                  </to>
                </anchor>
              </controlPr>
            </control>
          </mc:Choice>
        </mc:AlternateContent>
        <mc:AlternateContent xmlns:mc="http://schemas.openxmlformats.org/markup-compatibility/2006">
          <mc:Choice Requires="x14">
            <control shapeId="179254" r:id="rId8" name="Check Box 54">
              <controlPr defaultSize="0" autoFill="0" autoLine="0" autoPict="0" macro="[0]!Apply_RivCoView_Overrides">
                <anchor moveWithCells="1">
                  <from>
                    <xdr:col>30</xdr:col>
                    <xdr:colOff>190500</xdr:colOff>
                    <xdr:row>5</xdr:row>
                    <xdr:rowOff>167640</xdr:rowOff>
                  </from>
                  <to>
                    <xdr:col>30</xdr:col>
                    <xdr:colOff>426720</xdr:colOff>
                    <xdr:row>7</xdr:row>
                    <xdr:rowOff>15240</xdr:rowOff>
                  </to>
                </anchor>
              </controlPr>
            </control>
          </mc:Choice>
        </mc:AlternateContent>
        <mc:AlternateContent xmlns:mc="http://schemas.openxmlformats.org/markup-compatibility/2006">
          <mc:Choice Requires="x14">
            <control shapeId="179255" r:id="rId9" name="Check Box 55">
              <controlPr defaultSize="0" autoFill="0" autoLine="0" autoPict="0" macro="[0]!Apply_RivCoView_Overrides">
                <anchor moveWithCells="1">
                  <from>
                    <xdr:col>30</xdr:col>
                    <xdr:colOff>190500</xdr:colOff>
                    <xdr:row>6</xdr:row>
                    <xdr:rowOff>167640</xdr:rowOff>
                  </from>
                  <to>
                    <xdr:col>30</xdr:col>
                    <xdr:colOff>426720</xdr:colOff>
                    <xdr:row>8</xdr:row>
                    <xdr:rowOff>15240</xdr:rowOff>
                  </to>
                </anchor>
              </controlPr>
            </control>
          </mc:Choice>
        </mc:AlternateContent>
        <mc:AlternateContent xmlns:mc="http://schemas.openxmlformats.org/markup-compatibility/2006">
          <mc:Choice Requires="x14">
            <control shapeId="179256" r:id="rId10" name="Check Box 56">
              <controlPr defaultSize="0" autoFill="0" autoLine="0" autoPict="0" macro="[0]!Apply_RivCoView_Overrides">
                <anchor moveWithCells="1">
                  <from>
                    <xdr:col>30</xdr:col>
                    <xdr:colOff>190500</xdr:colOff>
                    <xdr:row>11</xdr:row>
                    <xdr:rowOff>167640</xdr:rowOff>
                  </from>
                  <to>
                    <xdr:col>30</xdr:col>
                    <xdr:colOff>426720</xdr:colOff>
                    <xdr:row>13</xdr:row>
                    <xdr:rowOff>15240</xdr:rowOff>
                  </to>
                </anchor>
              </controlPr>
            </control>
          </mc:Choice>
        </mc:AlternateContent>
        <mc:AlternateContent xmlns:mc="http://schemas.openxmlformats.org/markup-compatibility/2006">
          <mc:Choice Requires="x14">
            <control shapeId="179257" r:id="rId11" name="Check Box 57">
              <controlPr defaultSize="0" autoFill="0" autoLine="0" autoPict="0" macro="[0]!Apply_RivCoView_Overrides">
                <anchor moveWithCells="1">
                  <from>
                    <xdr:col>30</xdr:col>
                    <xdr:colOff>190500</xdr:colOff>
                    <xdr:row>12</xdr:row>
                    <xdr:rowOff>167640</xdr:rowOff>
                  </from>
                  <to>
                    <xdr:col>30</xdr:col>
                    <xdr:colOff>426720</xdr:colOff>
                    <xdr:row>14</xdr:row>
                    <xdr:rowOff>15240</xdr:rowOff>
                  </to>
                </anchor>
              </controlPr>
            </control>
          </mc:Choice>
        </mc:AlternateContent>
        <mc:AlternateContent xmlns:mc="http://schemas.openxmlformats.org/markup-compatibility/2006">
          <mc:Choice Requires="x14">
            <control shapeId="179258" r:id="rId12" name="Check Box 58">
              <controlPr defaultSize="0" autoFill="0" autoLine="0" autoPict="0" macro="[0]!Apply_RivCoView_Overrides">
                <anchor moveWithCells="1">
                  <from>
                    <xdr:col>30</xdr:col>
                    <xdr:colOff>190500</xdr:colOff>
                    <xdr:row>13</xdr:row>
                    <xdr:rowOff>167640</xdr:rowOff>
                  </from>
                  <to>
                    <xdr:col>30</xdr:col>
                    <xdr:colOff>426720</xdr:colOff>
                    <xdr:row>15</xdr:row>
                    <xdr:rowOff>15240</xdr:rowOff>
                  </to>
                </anchor>
              </controlPr>
            </control>
          </mc:Choice>
        </mc:AlternateContent>
        <mc:AlternateContent xmlns:mc="http://schemas.openxmlformats.org/markup-compatibility/2006">
          <mc:Choice Requires="x14">
            <control shapeId="179259" r:id="rId13" name="Check Box 59">
              <controlPr defaultSize="0" autoFill="0" autoLine="0" autoPict="0" macro="[0]!Apply_RivCoView_Overrides">
                <anchor moveWithCells="1">
                  <from>
                    <xdr:col>30</xdr:col>
                    <xdr:colOff>190500</xdr:colOff>
                    <xdr:row>14</xdr:row>
                    <xdr:rowOff>167640</xdr:rowOff>
                  </from>
                  <to>
                    <xdr:col>30</xdr:col>
                    <xdr:colOff>426720</xdr:colOff>
                    <xdr:row>16</xdr:row>
                    <xdr:rowOff>15240</xdr:rowOff>
                  </to>
                </anchor>
              </controlPr>
            </control>
          </mc:Choice>
        </mc:AlternateContent>
        <mc:AlternateContent xmlns:mc="http://schemas.openxmlformats.org/markup-compatibility/2006">
          <mc:Choice Requires="x14">
            <control shapeId="179260" r:id="rId14" name="Check Box 60">
              <controlPr defaultSize="0" autoFill="0" autoLine="0" autoPict="0" macro="[0]!Apply_RivCoView_Overrides">
                <anchor moveWithCells="1">
                  <from>
                    <xdr:col>30</xdr:col>
                    <xdr:colOff>190500</xdr:colOff>
                    <xdr:row>15</xdr:row>
                    <xdr:rowOff>167640</xdr:rowOff>
                  </from>
                  <to>
                    <xdr:col>30</xdr:col>
                    <xdr:colOff>426720</xdr:colOff>
                    <xdr:row>17</xdr:row>
                    <xdr:rowOff>15240</xdr:rowOff>
                  </to>
                </anchor>
              </controlPr>
            </control>
          </mc:Choice>
        </mc:AlternateContent>
        <mc:AlternateContent xmlns:mc="http://schemas.openxmlformats.org/markup-compatibility/2006">
          <mc:Choice Requires="x14">
            <control shapeId="179261" r:id="rId15" name="Check Box 61">
              <controlPr defaultSize="0" autoFill="0" autoLine="0" autoPict="0" macro="[0]!Apply_RivCoView_Overrides">
                <anchor moveWithCells="1">
                  <from>
                    <xdr:col>30</xdr:col>
                    <xdr:colOff>190500</xdr:colOff>
                    <xdr:row>20</xdr:row>
                    <xdr:rowOff>167640</xdr:rowOff>
                  </from>
                  <to>
                    <xdr:col>30</xdr:col>
                    <xdr:colOff>426720</xdr:colOff>
                    <xdr:row>22</xdr:row>
                    <xdr:rowOff>15240</xdr:rowOff>
                  </to>
                </anchor>
              </controlPr>
            </control>
          </mc:Choice>
        </mc:AlternateContent>
        <mc:AlternateContent xmlns:mc="http://schemas.openxmlformats.org/markup-compatibility/2006">
          <mc:Choice Requires="x14">
            <control shapeId="179262" r:id="rId16" name="Check Box 62">
              <controlPr defaultSize="0" autoFill="0" autoLine="0" autoPict="0" macro="[0]!Apply_RivCoView_Overrides">
                <anchor moveWithCells="1">
                  <from>
                    <xdr:col>30</xdr:col>
                    <xdr:colOff>190500</xdr:colOff>
                    <xdr:row>21</xdr:row>
                    <xdr:rowOff>167640</xdr:rowOff>
                  </from>
                  <to>
                    <xdr:col>30</xdr:col>
                    <xdr:colOff>426720</xdr:colOff>
                    <xdr:row>23</xdr:row>
                    <xdr:rowOff>15240</xdr:rowOff>
                  </to>
                </anchor>
              </controlPr>
            </control>
          </mc:Choice>
        </mc:AlternateContent>
        <mc:AlternateContent xmlns:mc="http://schemas.openxmlformats.org/markup-compatibility/2006">
          <mc:Choice Requires="x14">
            <control shapeId="179263" r:id="rId17" name="Check Box 63">
              <controlPr defaultSize="0" autoFill="0" autoLine="0" autoPict="0" macro="[0]!Apply_RivCoView_Overrides">
                <anchor moveWithCells="1">
                  <from>
                    <xdr:col>30</xdr:col>
                    <xdr:colOff>190500</xdr:colOff>
                    <xdr:row>22</xdr:row>
                    <xdr:rowOff>167640</xdr:rowOff>
                  </from>
                  <to>
                    <xdr:col>30</xdr:col>
                    <xdr:colOff>426720</xdr:colOff>
                    <xdr:row>24</xdr:row>
                    <xdr:rowOff>15240</xdr:rowOff>
                  </to>
                </anchor>
              </controlPr>
            </control>
          </mc:Choice>
        </mc:AlternateContent>
        <mc:AlternateContent xmlns:mc="http://schemas.openxmlformats.org/markup-compatibility/2006">
          <mc:Choice Requires="x14">
            <control shapeId="179264" r:id="rId18" name="Check Box 64">
              <controlPr defaultSize="0" autoFill="0" autoLine="0" autoPict="0" macro="[0]!Apply_RivCoView_Overrides">
                <anchor moveWithCells="1">
                  <from>
                    <xdr:col>30</xdr:col>
                    <xdr:colOff>190500</xdr:colOff>
                    <xdr:row>23</xdr:row>
                    <xdr:rowOff>167640</xdr:rowOff>
                  </from>
                  <to>
                    <xdr:col>30</xdr:col>
                    <xdr:colOff>426720</xdr:colOff>
                    <xdr:row>25</xdr:row>
                    <xdr:rowOff>15240</xdr:rowOff>
                  </to>
                </anchor>
              </controlPr>
            </control>
          </mc:Choice>
        </mc:AlternateContent>
        <mc:AlternateContent xmlns:mc="http://schemas.openxmlformats.org/markup-compatibility/2006">
          <mc:Choice Requires="x14">
            <control shapeId="179265" r:id="rId19" name="Check Box 65">
              <controlPr defaultSize="0" autoFill="0" autoLine="0" autoPict="0" macro="[0]!Apply_RivCoView_Overrides">
                <anchor moveWithCells="1">
                  <from>
                    <xdr:col>30</xdr:col>
                    <xdr:colOff>190500</xdr:colOff>
                    <xdr:row>24</xdr:row>
                    <xdr:rowOff>167640</xdr:rowOff>
                  </from>
                  <to>
                    <xdr:col>30</xdr:col>
                    <xdr:colOff>426720</xdr:colOff>
                    <xdr:row>26</xdr:row>
                    <xdr:rowOff>15240</xdr:rowOff>
                  </to>
                </anchor>
              </controlPr>
            </control>
          </mc:Choice>
        </mc:AlternateContent>
        <mc:AlternateContent xmlns:mc="http://schemas.openxmlformats.org/markup-compatibility/2006">
          <mc:Choice Requires="x14">
            <control shapeId="179266" r:id="rId20" name="Check Box 66">
              <controlPr defaultSize="0" autoFill="0" autoLine="0" autoPict="0" macro="[0]!Apply_RivCoView_Overrides">
                <anchor moveWithCells="1">
                  <from>
                    <xdr:col>30</xdr:col>
                    <xdr:colOff>190500</xdr:colOff>
                    <xdr:row>29</xdr:row>
                    <xdr:rowOff>167640</xdr:rowOff>
                  </from>
                  <to>
                    <xdr:col>30</xdr:col>
                    <xdr:colOff>426720</xdr:colOff>
                    <xdr:row>31</xdr:row>
                    <xdr:rowOff>15240</xdr:rowOff>
                  </to>
                </anchor>
              </controlPr>
            </control>
          </mc:Choice>
        </mc:AlternateContent>
        <mc:AlternateContent xmlns:mc="http://schemas.openxmlformats.org/markup-compatibility/2006">
          <mc:Choice Requires="x14">
            <control shapeId="179267" r:id="rId21" name="Check Box 67">
              <controlPr defaultSize="0" autoFill="0" autoLine="0" autoPict="0" macro="[0]!Apply_RivCoView_Overrides">
                <anchor moveWithCells="1">
                  <from>
                    <xdr:col>30</xdr:col>
                    <xdr:colOff>190500</xdr:colOff>
                    <xdr:row>30</xdr:row>
                    <xdr:rowOff>167640</xdr:rowOff>
                  </from>
                  <to>
                    <xdr:col>30</xdr:col>
                    <xdr:colOff>426720</xdr:colOff>
                    <xdr:row>32</xdr:row>
                    <xdr:rowOff>15240</xdr:rowOff>
                  </to>
                </anchor>
              </controlPr>
            </control>
          </mc:Choice>
        </mc:AlternateContent>
        <mc:AlternateContent xmlns:mc="http://schemas.openxmlformats.org/markup-compatibility/2006">
          <mc:Choice Requires="x14">
            <control shapeId="179268" r:id="rId22" name="Check Box 68">
              <controlPr defaultSize="0" autoFill="0" autoLine="0" autoPict="0" macro="[0]!Apply_RivCoView_Overrides">
                <anchor moveWithCells="1">
                  <from>
                    <xdr:col>30</xdr:col>
                    <xdr:colOff>190500</xdr:colOff>
                    <xdr:row>31</xdr:row>
                    <xdr:rowOff>167640</xdr:rowOff>
                  </from>
                  <to>
                    <xdr:col>30</xdr:col>
                    <xdr:colOff>426720</xdr:colOff>
                    <xdr:row>33</xdr:row>
                    <xdr:rowOff>15240</xdr:rowOff>
                  </to>
                </anchor>
              </controlPr>
            </control>
          </mc:Choice>
        </mc:AlternateContent>
        <mc:AlternateContent xmlns:mc="http://schemas.openxmlformats.org/markup-compatibility/2006">
          <mc:Choice Requires="x14">
            <control shapeId="179269" r:id="rId23" name="Check Box 69">
              <controlPr defaultSize="0" autoFill="0" autoLine="0" autoPict="0" macro="[0]!Apply_RivCoView_Overrides">
                <anchor moveWithCells="1">
                  <from>
                    <xdr:col>30</xdr:col>
                    <xdr:colOff>190500</xdr:colOff>
                    <xdr:row>32</xdr:row>
                    <xdr:rowOff>167640</xdr:rowOff>
                  </from>
                  <to>
                    <xdr:col>30</xdr:col>
                    <xdr:colOff>426720</xdr:colOff>
                    <xdr:row>34</xdr:row>
                    <xdr:rowOff>15240</xdr:rowOff>
                  </to>
                </anchor>
              </controlPr>
            </control>
          </mc:Choice>
        </mc:AlternateContent>
        <mc:AlternateContent xmlns:mc="http://schemas.openxmlformats.org/markup-compatibility/2006">
          <mc:Choice Requires="x14">
            <control shapeId="179270" r:id="rId24" name="Check Box 70">
              <controlPr defaultSize="0" autoFill="0" autoLine="0" autoPict="0" macro="[0]!Apply_RivCoView_Overrides">
                <anchor moveWithCells="1">
                  <from>
                    <xdr:col>30</xdr:col>
                    <xdr:colOff>190500</xdr:colOff>
                    <xdr:row>33</xdr:row>
                    <xdr:rowOff>167640</xdr:rowOff>
                  </from>
                  <to>
                    <xdr:col>30</xdr:col>
                    <xdr:colOff>426720</xdr:colOff>
                    <xdr:row>35</xdr:row>
                    <xdr:rowOff>15240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B8493DE-FABF-441E-AB75-0EF72B28679F}">
          <x14:formula1>
            <xm:f>'Program Data'!$B$2:$B$10</xm:f>
          </x14:formula1>
          <xm:sqref>A4:A335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5F688-895F-40B7-8BD5-6F5B4EFF5645}">
  <sheetPr codeName="Sheet14"/>
  <dimension ref="A1:X6"/>
  <sheetViews>
    <sheetView workbookViewId="0"/>
  </sheetViews>
  <sheetFormatPr defaultRowHeight="14.4"/>
  <cols>
    <col min="1" max="1" width="4.109375" bestFit="1" customWidth="1"/>
    <col min="2" max="2" width="10.88671875" bestFit="1" customWidth="1"/>
    <col min="3" max="3" width="12.88671875" bestFit="1" customWidth="1"/>
    <col min="4" max="4" width="17.21875" bestFit="1" customWidth="1"/>
    <col min="5" max="5" width="9.5546875" bestFit="1" customWidth="1"/>
    <col min="6" max="6" width="10.5546875" bestFit="1" customWidth="1"/>
    <col min="7" max="7" width="9.88671875" bestFit="1" customWidth="1"/>
    <col min="8" max="8" width="12.109375" bestFit="1" customWidth="1"/>
    <col min="9" max="9" width="22.88671875" bestFit="1" customWidth="1"/>
    <col min="10" max="10" width="15.88671875" bestFit="1" customWidth="1"/>
    <col min="11" max="11" width="12" bestFit="1" customWidth="1"/>
    <col min="12" max="12" width="11.5546875" bestFit="1" customWidth="1"/>
    <col min="13" max="13" width="9.21875" bestFit="1" customWidth="1"/>
    <col min="14" max="14" width="9.88671875" bestFit="1" customWidth="1"/>
    <col min="15" max="15" width="17.33203125" bestFit="1" customWidth="1"/>
    <col min="16" max="16" width="13.33203125" bestFit="1" customWidth="1"/>
    <col min="17" max="17" width="19.88671875" bestFit="1" customWidth="1"/>
    <col min="18" max="18" width="5.5546875" bestFit="1" customWidth="1"/>
    <col min="19" max="19" width="16.88671875" bestFit="1" customWidth="1"/>
    <col min="20" max="20" width="10.5546875" bestFit="1" customWidth="1"/>
    <col min="21" max="21" width="12.44140625" bestFit="1" customWidth="1"/>
    <col min="22" max="22" width="18.44140625" bestFit="1" customWidth="1"/>
    <col min="23" max="23" width="14" bestFit="1" customWidth="1"/>
    <col min="24" max="24" width="17.5546875" bestFit="1" customWidth="1"/>
    <col min="25" max="25" width="18.44140625" bestFit="1" customWidth="1"/>
    <col min="26" max="26" width="18.5546875" bestFit="1" customWidth="1"/>
    <col min="27" max="27" width="12.44140625" bestFit="1" customWidth="1"/>
    <col min="28" max="28" width="10" bestFit="1" customWidth="1"/>
    <col min="29" max="29" width="16.44140625" bestFit="1" customWidth="1"/>
    <col min="30" max="30" width="14.88671875" bestFit="1" customWidth="1"/>
    <col min="31" max="31" width="15.109375" bestFit="1" customWidth="1"/>
  </cols>
  <sheetData>
    <row r="1" spans="1:24" s="789" customFormat="1">
      <c r="A1" s="794" t="s">
        <v>25</v>
      </c>
      <c r="B1" s="794" t="s">
        <v>514</v>
      </c>
      <c r="C1" s="794" t="s">
        <v>515</v>
      </c>
      <c r="D1" s="794" t="s">
        <v>92</v>
      </c>
      <c r="E1" s="794" t="s">
        <v>13</v>
      </c>
      <c r="F1" s="795" t="s">
        <v>516</v>
      </c>
      <c r="G1" s="796" t="s">
        <v>440</v>
      </c>
      <c r="H1" s="797" t="s">
        <v>517</v>
      </c>
      <c r="I1" s="796" t="s">
        <v>518</v>
      </c>
      <c r="J1" s="798" t="s">
        <v>519</v>
      </c>
      <c r="K1" s="798" t="s">
        <v>520</v>
      </c>
      <c r="L1" s="794" t="s">
        <v>521</v>
      </c>
      <c r="M1" s="794" t="s">
        <v>15</v>
      </c>
      <c r="N1" s="794" t="s">
        <v>522</v>
      </c>
      <c r="O1" s="794" t="s">
        <v>523</v>
      </c>
      <c r="P1" s="794" t="s">
        <v>524</v>
      </c>
      <c r="Q1" s="794" t="s">
        <v>525</v>
      </c>
      <c r="R1" s="799" t="s">
        <v>98</v>
      </c>
      <c r="S1" s="799" t="s">
        <v>64</v>
      </c>
      <c r="T1" s="794" t="s">
        <v>23</v>
      </c>
      <c r="U1" s="794" t="s">
        <v>526</v>
      </c>
      <c r="V1" s="794" t="s">
        <v>527</v>
      </c>
      <c r="W1" s="794" t="s">
        <v>528</v>
      </c>
      <c r="X1" s="794" t="s">
        <v>529</v>
      </c>
    </row>
    <row r="2" spans="1:24">
      <c r="F2" s="790"/>
      <c r="G2" s="791"/>
      <c r="H2" s="189"/>
      <c r="I2" s="791"/>
      <c r="J2" s="792"/>
      <c r="K2" s="792"/>
      <c r="R2" s="793"/>
      <c r="S2" s="793"/>
    </row>
    <row r="3" spans="1:24">
      <c r="C3" t="s">
        <v>549</v>
      </c>
      <c r="D3" t="s">
        <v>550</v>
      </c>
      <c r="E3" t="s">
        <v>443</v>
      </c>
      <c r="F3" s="790">
        <v>46114</v>
      </c>
      <c r="G3" s="791">
        <v>5300000</v>
      </c>
      <c r="H3" s="189">
        <v>17767</v>
      </c>
      <c r="I3" s="791">
        <v>298.30584792030169</v>
      </c>
      <c r="J3" s="792">
        <v>1999</v>
      </c>
      <c r="K3" s="792">
        <v>27</v>
      </c>
      <c r="R3" s="793">
        <v>0.95998600000000001</v>
      </c>
      <c r="S3" s="793">
        <v>2.3536325862554173</v>
      </c>
      <c r="T3" t="s">
        <v>536</v>
      </c>
      <c r="U3" t="s">
        <v>551</v>
      </c>
    </row>
    <row r="4" spans="1:24">
      <c r="C4" t="s">
        <v>552</v>
      </c>
      <c r="D4" t="s">
        <v>553</v>
      </c>
      <c r="E4" t="s">
        <v>534</v>
      </c>
      <c r="F4" s="740">
        <v>46027</v>
      </c>
      <c r="G4">
        <v>1570000</v>
      </c>
      <c r="H4">
        <v>5840</v>
      </c>
      <c r="I4">
        <v>268.83561643835617</v>
      </c>
      <c r="J4">
        <v>1981</v>
      </c>
      <c r="K4">
        <v>45</v>
      </c>
      <c r="R4">
        <v>0.36</v>
      </c>
      <c r="S4">
        <v>2.6852054794520543</v>
      </c>
      <c r="T4" t="s">
        <v>537</v>
      </c>
      <c r="U4" t="s">
        <v>554</v>
      </c>
    </row>
    <row r="5" spans="1:24">
      <c r="C5" t="s">
        <v>555</v>
      </c>
      <c r="D5" t="s">
        <v>556</v>
      </c>
      <c r="E5" t="s">
        <v>443</v>
      </c>
      <c r="F5" s="740">
        <v>46021</v>
      </c>
      <c r="G5">
        <v>2675000</v>
      </c>
      <c r="H5">
        <v>7000</v>
      </c>
      <c r="I5">
        <v>382.14285714285717</v>
      </c>
      <c r="J5">
        <v>2005</v>
      </c>
      <c r="K5">
        <v>21</v>
      </c>
      <c r="R5">
        <v>0.5</v>
      </c>
      <c r="S5">
        <v>3.1114285714285712</v>
      </c>
      <c r="T5" t="s">
        <v>536</v>
      </c>
      <c r="U5" t="s">
        <v>551</v>
      </c>
    </row>
    <row r="6" spans="1:24">
      <c r="C6" t="s">
        <v>557</v>
      </c>
      <c r="D6" t="s">
        <v>558</v>
      </c>
      <c r="E6" t="s">
        <v>443</v>
      </c>
      <c r="F6" s="740">
        <v>45817</v>
      </c>
      <c r="G6">
        <v>6400000</v>
      </c>
      <c r="H6">
        <v>17192</v>
      </c>
      <c r="I6">
        <v>372.2661703117729</v>
      </c>
      <c r="J6">
        <v>2001</v>
      </c>
      <c r="K6">
        <v>25</v>
      </c>
      <c r="R6">
        <v>1</v>
      </c>
      <c r="S6">
        <v>2.5337366216845045</v>
      </c>
      <c r="T6" t="s">
        <v>547</v>
      </c>
      <c r="U6" t="s">
        <v>559</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7AFAF3-28EB-4850-9542-2F1A3F81CA27}">
  <sheetPr codeName="Sheet11">
    <tabColor theme="9" tint="-0.249977111117893"/>
  </sheetPr>
  <dimension ref="A1:N50"/>
  <sheetViews>
    <sheetView showZeros="0" view="pageLayout" topLeftCell="A13" zoomScaleNormal="70" zoomScaleSheetLayoutView="145" workbookViewId="0">
      <selection activeCell="A2" sqref="A2"/>
    </sheetView>
  </sheetViews>
  <sheetFormatPr defaultColWidth="9.109375" defaultRowHeight="13.8"/>
  <cols>
    <col min="1" max="1" width="32.88671875" style="24" customWidth="1"/>
    <col min="2" max="2" width="4.88671875" style="24" customWidth="1"/>
    <col min="3" max="3" width="22.6640625" style="24" customWidth="1"/>
    <col min="4" max="4" width="4.33203125" style="24" customWidth="1"/>
    <col min="5" max="5" width="3.6640625" style="24" customWidth="1"/>
    <col min="6" max="6" width="15.109375" style="24" customWidth="1"/>
    <col min="7" max="7" width="4.33203125" style="24" customWidth="1"/>
    <col min="8" max="16384" width="9.109375" style="24"/>
  </cols>
  <sheetData>
    <row r="1" spans="1:7" ht="18">
      <c r="A1" s="844" t="s">
        <v>43</v>
      </c>
      <c r="B1" s="844"/>
      <c r="C1" s="844"/>
      <c r="D1" s="844"/>
      <c r="E1" s="844"/>
      <c r="F1" s="844"/>
      <c r="G1" s="844"/>
    </row>
    <row r="2" spans="1:7" ht="15.6">
      <c r="A2" s="34"/>
      <c r="B2" s="34"/>
      <c r="C2" s="34"/>
      <c r="D2" s="34"/>
      <c r="E2" s="34"/>
      <c r="F2" s="34"/>
      <c r="G2" s="34"/>
    </row>
    <row r="3" spans="1:7" ht="16.2" thickBot="1">
      <c r="A3" s="31" t="s">
        <v>42</v>
      </c>
      <c r="B3" s="31"/>
      <c r="C3" s="43">
        <f>INPUT!B16</f>
        <v>0</v>
      </c>
      <c r="D3" s="43"/>
      <c r="E3" s="31"/>
      <c r="F3" s="31"/>
      <c r="G3" s="34"/>
    </row>
    <row r="4" spans="1:7" ht="15.6">
      <c r="A4" s="31"/>
      <c r="B4" s="31"/>
      <c r="C4" s="44"/>
      <c r="D4" s="44"/>
      <c r="E4" s="31"/>
      <c r="F4" s="31"/>
      <c r="G4" s="34"/>
    </row>
    <row r="5" spans="1:7" ht="16.2" thickBot="1">
      <c r="A5" s="31" t="s">
        <v>2</v>
      </c>
      <c r="B5" s="31"/>
      <c r="C5" s="45">
        <f>INPUT!B17</f>
        <v>0</v>
      </c>
      <c r="D5" s="43"/>
      <c r="E5" s="31"/>
      <c r="F5" s="31"/>
      <c r="G5" s="34"/>
    </row>
    <row r="6" spans="1:7" ht="15.6">
      <c r="A6" s="31"/>
      <c r="B6" s="31"/>
      <c r="C6" s="44"/>
      <c r="D6" s="44"/>
      <c r="E6" s="31"/>
      <c r="F6" s="31"/>
      <c r="G6" s="34"/>
    </row>
    <row r="7" spans="1:7" ht="16.2" thickBot="1">
      <c r="A7" s="31" t="s">
        <v>1</v>
      </c>
      <c r="B7" s="31"/>
      <c r="C7" s="43">
        <f>INPUT!B30</f>
        <v>107350009</v>
      </c>
      <c r="D7" s="43"/>
      <c r="E7" s="31"/>
      <c r="F7" s="31"/>
      <c r="G7" s="34"/>
    </row>
    <row r="8" spans="1:7" ht="15.6">
      <c r="A8" s="31"/>
      <c r="B8" s="31"/>
      <c r="C8" s="44"/>
      <c r="D8" s="44"/>
      <c r="E8" s="31"/>
      <c r="F8" s="31"/>
      <c r="G8" s="34"/>
    </row>
    <row r="9" spans="1:7" ht="16.2" thickBot="1">
      <c r="A9" s="31" t="s">
        <v>41</v>
      </c>
      <c r="B9" s="31"/>
      <c r="C9" s="43" t="str">
        <f>INPUT!B6</f>
        <v>Kyle Edmonds</v>
      </c>
      <c r="D9" s="43"/>
      <c r="E9" s="31"/>
      <c r="F9" s="31"/>
      <c r="G9" s="34"/>
    </row>
    <row r="10" spans="1:7" ht="15.6">
      <c r="A10" s="31"/>
      <c r="B10" s="31"/>
      <c r="C10" s="31"/>
      <c r="D10" s="31"/>
      <c r="E10" s="31"/>
      <c r="F10" s="31"/>
      <c r="G10" s="34"/>
    </row>
    <row r="11" spans="1:7" ht="15.6">
      <c r="A11" s="31"/>
      <c r="B11" s="31"/>
      <c r="C11" s="31"/>
      <c r="D11" s="31"/>
      <c r="E11" s="31"/>
      <c r="F11" s="31"/>
      <c r="G11" s="34"/>
    </row>
    <row r="12" spans="1:7" ht="16.2" thickBot="1">
      <c r="A12" s="31" t="s">
        <v>3</v>
      </c>
      <c r="B12" s="31"/>
      <c r="C12" s="31"/>
      <c r="D12" s="31"/>
      <c r="E12" s="31"/>
      <c r="F12" s="42">
        <f>INPUT!B25</f>
        <v>0</v>
      </c>
      <c r="G12" s="32"/>
    </row>
    <row r="13" spans="1:7" ht="16.2" thickBot="1">
      <c r="A13" s="31" t="s">
        <v>5</v>
      </c>
      <c r="B13" s="31"/>
      <c r="C13" s="31"/>
      <c r="D13" s="31"/>
      <c r="E13" s="31"/>
      <c r="F13" s="42">
        <f>INPUT!B26</f>
        <v>3928960</v>
      </c>
      <c r="G13" s="32"/>
    </row>
    <row r="14" spans="1:7" ht="16.2" thickBot="1">
      <c r="A14" s="31" t="s">
        <v>4</v>
      </c>
      <c r="B14" s="31"/>
      <c r="C14" s="31"/>
      <c r="D14" s="31"/>
      <c r="E14" s="31"/>
      <c r="F14" s="42">
        <f>INPUT!B27</f>
        <v>0</v>
      </c>
      <c r="G14" s="32"/>
    </row>
    <row r="15" spans="1:7" ht="16.2" thickBot="1">
      <c r="A15" s="31"/>
      <c r="B15" s="31"/>
      <c r="C15" s="31"/>
      <c r="D15" s="31"/>
      <c r="E15" s="31"/>
      <c r="F15" s="31"/>
      <c r="G15" s="34"/>
    </row>
    <row r="16" spans="1:7" ht="16.2" thickBot="1">
      <c r="A16" s="31" t="s">
        <v>6</v>
      </c>
      <c r="B16" s="31"/>
      <c r="C16" s="31" t="s">
        <v>40</v>
      </c>
      <c r="D16" s="39" t="str">
        <f>IF(INPUT!M3=TRUE,"X","")</f>
        <v/>
      </c>
      <c r="E16" s="31"/>
      <c r="F16" s="31" t="s">
        <v>39</v>
      </c>
      <c r="G16" s="39" t="str">
        <f>IF(INPUT!M2=TRUE,"X","")</f>
        <v/>
      </c>
    </row>
    <row r="17" spans="1:7" ht="16.2" thickBot="1">
      <c r="A17" s="31"/>
      <c r="B17" s="31"/>
      <c r="C17" s="31"/>
      <c r="D17" s="31"/>
      <c r="E17" s="31"/>
      <c r="F17" s="31"/>
      <c r="G17" s="34"/>
    </row>
    <row r="18" spans="1:7" ht="16.2" thickBot="1">
      <c r="A18" s="31" t="s">
        <v>7</v>
      </c>
      <c r="B18" s="31"/>
      <c r="C18" s="31" t="s">
        <v>38</v>
      </c>
      <c r="D18" s="39" t="str">
        <f>IF(INPUT!G2=TRUE,"X","")</f>
        <v>X</v>
      </c>
      <c r="E18" s="31"/>
      <c r="F18" s="31" t="s">
        <v>37</v>
      </c>
      <c r="G18" s="41" t="str">
        <f>IF(INPUT!G3=TRUE,"X","")</f>
        <v/>
      </c>
    </row>
    <row r="19" spans="1:7" ht="16.2" thickBot="1">
      <c r="A19" s="31"/>
      <c r="B19" s="31"/>
      <c r="C19" s="31"/>
      <c r="D19" s="31"/>
      <c r="E19" s="31"/>
      <c r="F19" s="31"/>
      <c r="G19" s="34"/>
    </row>
    <row r="20" spans="1:7" ht="16.2" thickBot="1">
      <c r="A20" s="31"/>
      <c r="B20" s="31"/>
      <c r="C20" s="31" t="s">
        <v>36</v>
      </c>
      <c r="D20" s="39" t="s">
        <v>157</v>
      </c>
      <c r="E20" s="31"/>
      <c r="F20" s="31" t="s">
        <v>35</v>
      </c>
      <c r="G20" s="40"/>
    </row>
    <row r="21" spans="1:7" ht="16.2" thickBot="1">
      <c r="A21" s="31"/>
      <c r="B21" s="31"/>
      <c r="C21" s="34"/>
      <c r="D21" s="34"/>
      <c r="E21" s="31"/>
      <c r="F21" s="34"/>
      <c r="G21" s="34"/>
    </row>
    <row r="22" spans="1:7" ht="16.2" thickBot="1">
      <c r="A22" s="31"/>
      <c r="B22" s="31"/>
      <c r="C22" s="31" t="s">
        <v>34</v>
      </c>
      <c r="D22" s="39" t="s">
        <v>20</v>
      </c>
      <c r="E22" s="31"/>
      <c r="F22" s="31" t="s">
        <v>33</v>
      </c>
      <c r="G22" s="37"/>
    </row>
    <row r="23" spans="1:7" ht="16.2" thickBot="1">
      <c r="A23" s="31"/>
      <c r="B23" s="31"/>
      <c r="C23" s="34"/>
      <c r="D23" s="34"/>
      <c r="E23" s="31"/>
      <c r="F23" s="34"/>
      <c r="G23" s="34"/>
    </row>
    <row r="24" spans="1:7" ht="16.2" thickBot="1">
      <c r="A24" s="31"/>
      <c r="B24" s="31"/>
      <c r="C24" s="31" t="s">
        <v>32</v>
      </c>
      <c r="D24" s="38"/>
      <c r="E24" s="31"/>
      <c r="F24" s="31" t="s">
        <v>31</v>
      </c>
      <c r="G24" s="37"/>
    </row>
    <row r="25" spans="1:7" ht="15.6">
      <c r="A25" s="31"/>
      <c r="B25" s="31"/>
      <c r="C25" s="31"/>
      <c r="D25" s="31"/>
      <c r="E25" s="31"/>
      <c r="F25" s="31"/>
      <c r="G25" s="34"/>
    </row>
    <row r="26" spans="1:7" ht="15.6">
      <c r="A26" s="31"/>
      <c r="B26" s="31"/>
      <c r="C26" s="31"/>
      <c r="D26" s="31"/>
      <c r="E26" s="31"/>
      <c r="F26" s="31"/>
      <c r="G26" s="34"/>
    </row>
    <row r="27" spans="1:7" ht="16.2" thickBot="1">
      <c r="A27" s="31" t="s">
        <v>8</v>
      </c>
      <c r="B27" s="31"/>
      <c r="C27" s="36">
        <f>INPUT!B38</f>
        <v>0.68</v>
      </c>
      <c r="D27" s="33"/>
      <c r="E27" s="31"/>
      <c r="F27" s="31"/>
      <c r="G27" s="34"/>
    </row>
    <row r="28" spans="1:7" ht="15.6">
      <c r="A28" s="31"/>
      <c r="B28" s="31"/>
      <c r="C28" s="31"/>
      <c r="D28" s="31"/>
      <c r="E28" s="31"/>
      <c r="F28" s="31"/>
      <c r="G28" s="34"/>
    </row>
    <row r="29" spans="1:7" ht="16.2" thickBot="1">
      <c r="A29" s="31" t="s">
        <v>30</v>
      </c>
      <c r="B29" s="31"/>
      <c r="C29" s="35" t="str">
        <f>INPUT!B32</f>
        <v>CORONA</v>
      </c>
      <c r="D29" s="33"/>
      <c r="E29" s="33"/>
      <c r="F29" s="33"/>
      <c r="G29" s="32"/>
    </row>
    <row r="30" spans="1:7" ht="15.6">
      <c r="A30" s="31"/>
      <c r="B30" s="31"/>
      <c r="C30" s="31"/>
      <c r="D30" s="31"/>
      <c r="E30" s="31"/>
      <c r="F30" s="31"/>
      <c r="G30" s="34"/>
    </row>
    <row r="31" spans="1:7" ht="16.2" thickBot="1">
      <c r="A31" s="31" t="s">
        <v>29</v>
      </c>
      <c r="B31" s="31"/>
      <c r="C31" s="35" t="str">
        <f>INPUT!B31</f>
        <v>1215 GRAPHITE DR</v>
      </c>
      <c r="D31" s="33"/>
      <c r="E31" s="33"/>
      <c r="F31" s="33"/>
      <c r="G31" s="32"/>
    </row>
    <row r="32" spans="1:7" ht="15.6">
      <c r="A32" s="31"/>
      <c r="B32" s="31"/>
      <c r="C32" s="31"/>
      <c r="D32" s="31"/>
      <c r="E32" s="31"/>
      <c r="F32" s="31"/>
      <c r="G32" s="34"/>
    </row>
    <row r="33" spans="1:14" ht="16.2" thickBot="1">
      <c r="A33" s="31" t="s">
        <v>28</v>
      </c>
      <c r="B33" s="31"/>
      <c r="C33" s="35" t="str">
        <f>INPUT!B43</f>
        <v>GRAPHITE DR &amp; CALIFORNIA AVE</v>
      </c>
      <c r="D33" s="33"/>
      <c r="E33" s="33"/>
      <c r="F33" s="33"/>
      <c r="G33" s="32"/>
    </row>
    <row r="34" spans="1:14" ht="15.6">
      <c r="A34" s="233"/>
      <c r="B34" s="233"/>
      <c r="C34" s="233"/>
      <c r="D34" s="233"/>
      <c r="E34" s="233"/>
      <c r="F34" s="233"/>
      <c r="G34" s="106"/>
      <c r="H34" s="139"/>
      <c r="I34" s="139"/>
      <c r="J34" s="139"/>
      <c r="K34" s="139"/>
      <c r="L34" s="139"/>
      <c r="M34" s="139"/>
      <c r="N34" s="139"/>
    </row>
    <row r="35" spans="1:14" ht="15.6">
      <c r="A35" s="233" t="s">
        <v>9</v>
      </c>
      <c r="B35" s="233"/>
      <c r="C35" s="845" t="str">
        <f>"Sales comparison approach and income approach results correlated to "&amp;TEXT(INPUT!B26,"$#,##0")&amp;", or $"&amp;ROUND(INPUT!B26/INPUT!B35,0)&amp;"/sqft."</f>
        <v>Sales comparison approach and income approach results correlated to $3,928,960, or $375/sqft.</v>
      </c>
      <c r="D35" s="845"/>
      <c r="E35" s="845"/>
      <c r="F35" s="845"/>
      <c r="G35" s="845"/>
      <c r="H35" s="139"/>
      <c r="I35" s="139"/>
      <c r="J35" s="139"/>
      <c r="K35" s="139"/>
      <c r="L35" s="139"/>
      <c r="M35" s="139"/>
      <c r="N35" s="139"/>
    </row>
    <row r="36" spans="1:14" ht="15.6">
      <c r="A36" s="34"/>
      <c r="B36" s="31"/>
      <c r="C36" s="846"/>
      <c r="D36" s="846"/>
      <c r="E36" s="846"/>
      <c r="F36" s="846"/>
      <c r="G36" s="846"/>
    </row>
    <row r="37" spans="1:14" ht="16.2" thickBot="1">
      <c r="A37" s="31"/>
      <c r="B37" s="31"/>
      <c r="C37" s="847"/>
      <c r="D37" s="847"/>
      <c r="E37" s="847"/>
      <c r="F37" s="847"/>
      <c r="G37" s="847"/>
    </row>
    <row r="38" spans="1:14" ht="15.6">
      <c r="A38" s="30"/>
      <c r="B38" s="30"/>
      <c r="C38" s="29"/>
      <c r="D38" s="29"/>
      <c r="E38" s="29"/>
      <c r="F38" s="29"/>
      <c r="G38" s="28"/>
    </row>
    <row r="39" spans="1:14" ht="18">
      <c r="A39" s="27"/>
      <c r="B39" s="26"/>
      <c r="C39" s="26"/>
      <c r="D39" s="26"/>
      <c r="E39" s="26"/>
      <c r="F39" s="26"/>
    </row>
    <row r="43" spans="1:14">
      <c r="C43" s="25"/>
    </row>
    <row r="44" spans="1:14">
      <c r="C44" s="25"/>
    </row>
    <row r="45" spans="1:14">
      <c r="C45" s="25"/>
    </row>
    <row r="46" spans="1:14">
      <c r="C46" s="25"/>
    </row>
    <row r="49" spans="3:3">
      <c r="C49" s="25"/>
    </row>
    <row r="50" spans="3:3">
      <c r="C50" s="25"/>
    </row>
  </sheetData>
  <sheetProtection selectLockedCells="1"/>
  <mergeCells count="2">
    <mergeCell ref="A1:G1"/>
    <mergeCell ref="C35:G37"/>
  </mergeCells>
  <printOptions horizontalCentered="1" verticalCentered="1"/>
  <pageMargins left="0.25" right="0.25" top="0.5" bottom="0.5" header="0.3" footer="0.3"/>
  <pageSetup orientation="portrait" r:id="rId1"/>
  <headerFooter scaleWithDoc="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DD3EEA-C01A-4439-9D12-E9CFE74ABC0D}">
  <sheetPr codeName="Sheet6">
    <tabColor rgb="FF002060"/>
    <pageSetUpPr fitToPage="1"/>
  </sheetPr>
  <dimension ref="A1:K46"/>
  <sheetViews>
    <sheetView showWhiteSpace="0" view="pageLayout" topLeftCell="A7" zoomScale="145" zoomScaleNormal="100" zoomScaleSheetLayoutView="190" zoomScalePageLayoutView="145" workbookViewId="0">
      <selection activeCell="D8" sqref="D8"/>
    </sheetView>
  </sheetViews>
  <sheetFormatPr defaultColWidth="22.5546875" defaultRowHeight="14.4"/>
  <cols>
    <col min="1" max="1" width="25.44140625" customWidth="1"/>
    <col min="2" max="2" width="25.33203125" customWidth="1"/>
    <col min="3" max="3" width="0.33203125" customWidth="1"/>
    <col min="4" max="5" width="25.44140625" customWidth="1"/>
  </cols>
  <sheetData>
    <row r="1" spans="1:11" ht="19.95" customHeight="1"/>
    <row r="2" spans="1:11" ht="22.95" customHeight="1">
      <c r="B2" s="308"/>
      <c r="C2" s="308"/>
      <c r="D2" s="308"/>
      <c r="E2" s="308"/>
    </row>
    <row r="3" spans="1:11" ht="18.600000000000001" customHeight="1"/>
    <row r="4" spans="1:11" ht="15" customHeight="1">
      <c r="B4" s="307"/>
      <c r="C4" s="307"/>
      <c r="D4" s="307"/>
      <c r="E4" s="307"/>
    </row>
    <row r="5" spans="1:11" ht="19.2" customHeight="1"/>
    <row r="6" spans="1:11" ht="22.5" customHeight="1">
      <c r="A6" s="851" t="str">
        <f>IF(INPUT!P3=TRUE,
    TEXT(INPUT!B11,"0%") &amp; " COMPLETE PARTIAL NEW CONSTRUCTION VALUATION",
    IF(INPUT!J4=FALSE,
       "PROPERTY TRANSFER VALUATION REPORT",
       "NEW CONSTRUCTION VALUATION REPORT"))</f>
        <v>PROPERTY TRANSFER VALUATION REPORT</v>
      </c>
      <c r="B6" s="851"/>
      <c r="C6" s="851"/>
      <c r="D6" s="851"/>
      <c r="E6" s="851"/>
    </row>
    <row r="7" spans="1:11">
      <c r="A7" s="852" t="s">
        <v>283</v>
      </c>
      <c r="B7" s="852"/>
      <c r="C7" s="852"/>
      <c r="D7" s="852"/>
      <c r="E7" s="853"/>
      <c r="F7" s="302"/>
      <c r="G7" s="302"/>
      <c r="H7" s="302"/>
    </row>
    <row r="8" spans="1:11">
      <c r="B8" s="524" t="s">
        <v>301</v>
      </c>
      <c r="C8" s="524"/>
      <c r="D8" s="305">
        <f>INPUT!B30</f>
        <v>107350009</v>
      </c>
      <c r="I8" s="850" t="str">
        <f>'Subj Pics'!F26</f>
        <v>1215 GRAPHITE DR, CORONA, CA</v>
      </c>
      <c r="J8" s="850"/>
      <c r="K8" s="850"/>
    </row>
    <row r="9" spans="1:11">
      <c r="B9" s="515" t="str">
        <f>IF(INPUT!B31="","Intersection","Situs")</f>
        <v>Situs</v>
      </c>
      <c r="C9" s="515"/>
      <c r="D9" s="525" t="str">
        <f>IF(INPUT!B31="",INPUT!B43,INPUT!B31)</f>
        <v>1215 GRAPHITE DR</v>
      </c>
      <c r="I9" s="850"/>
      <c r="J9" s="850"/>
      <c r="K9" s="850"/>
    </row>
    <row r="10" spans="1:11">
      <c r="B10" s="524" t="s">
        <v>13</v>
      </c>
      <c r="C10" s="524"/>
      <c r="D10" s="305" t="str">
        <f>INPUT!B32</f>
        <v>CORONA</v>
      </c>
      <c r="G10" s="13" t="s">
        <v>297</v>
      </c>
    </row>
    <row r="11" spans="1:11">
      <c r="B11" s="524" t="s">
        <v>93</v>
      </c>
      <c r="C11" s="524"/>
      <c r="D11" s="744" t="str">
        <f>INPUT!B33</f>
        <v>Light Industrial</v>
      </c>
      <c r="E11" s="667"/>
    </row>
    <row r="12" spans="1:11">
      <c r="A12" s="852" t="str">
        <f>INPUT!A9</f>
        <v>TRANSFER DETAILS</v>
      </c>
      <c r="B12" s="852"/>
      <c r="C12" s="852"/>
      <c r="D12" s="852"/>
      <c r="E12" s="852"/>
    </row>
    <row r="13" spans="1:11">
      <c r="B13" s="522" t="str">
        <f>INPUT!A10</f>
        <v>Date of Transfer</v>
      </c>
      <c r="C13" s="522"/>
      <c r="D13" s="311">
        <f>INPUT!B10</f>
        <v>46031</v>
      </c>
      <c r="E13" s="667"/>
      <c r="F13" s="302"/>
      <c r="G13" s="302"/>
      <c r="H13" s="302"/>
    </row>
    <row r="14" spans="1:11">
      <c r="B14" s="304" t="str">
        <f>INPUT!A12</f>
        <v>Transfer Document Number</v>
      </c>
      <c r="C14" s="304"/>
      <c r="D14" s="305" t="str">
        <f>INPUT!B12</f>
        <v>2026-0006707</v>
      </c>
      <c r="E14" s="667"/>
    </row>
    <row r="15" spans="1:11">
      <c r="B15" s="515" t="str">
        <f>INPUT!A13</f>
        <v>Ratio Code</v>
      </c>
      <c r="C15" s="515"/>
      <c r="D15" s="523" t="str">
        <f>INPUT!B13</f>
        <v>STT</v>
      </c>
      <c r="E15" s="667"/>
    </row>
    <row r="16" spans="1:11">
      <c r="A16" s="849" t="s">
        <v>284</v>
      </c>
      <c r="B16" s="849"/>
      <c r="C16" s="849"/>
      <c r="D16" s="849"/>
      <c r="E16" s="849"/>
    </row>
    <row r="17" spans="1:8">
      <c r="B17" s="312" t="str">
        <f>INPUT!A24</f>
        <v>Sale Price</v>
      </c>
      <c r="C17" s="312"/>
      <c r="D17" s="313">
        <f>INPUT!B24</f>
        <v>3928960</v>
      </c>
      <c r="E17" s="667"/>
    </row>
    <row r="18" spans="1:8">
      <c r="B18" s="312" t="str">
        <f>INPUT!A26</f>
        <v>Total Posted</v>
      </c>
      <c r="C18" s="312"/>
      <c r="D18" s="313">
        <f>IF(INPUT!J4=FALSE,INPUT!B26,INPUT!B25)</f>
        <v>3928960</v>
      </c>
      <c r="E18" s="667"/>
      <c r="F18" s="302"/>
      <c r="G18" s="302"/>
      <c r="H18" s="302"/>
    </row>
    <row r="19" spans="1:8" ht="14.4" hidden="1" customHeight="1">
      <c r="B19" s="304" t="str">
        <f>IF(INPUT!J4=FALSE,"Actual Value Enrolled","Total Posted")</f>
        <v>Actual Value Enrolled</v>
      </c>
      <c r="C19" s="304"/>
      <c r="D19" s="313">
        <f>INPUT!B26</f>
        <v>3928960</v>
      </c>
    </row>
    <row r="20" spans="1:8" ht="14.4" hidden="1" customHeight="1">
      <c r="B20" s="304" t="str">
        <f>INPUT!A27</f>
        <v>Cumulative Delta</v>
      </c>
      <c r="C20" s="304"/>
      <c r="D20" s="313">
        <f>INPUT!B27</f>
        <v>0</v>
      </c>
    </row>
    <row r="21" spans="1:8">
      <c r="A21" s="849" t="s">
        <v>285</v>
      </c>
      <c r="B21" s="849"/>
      <c r="C21" s="742"/>
      <c r="D21" s="852" t="s">
        <v>441</v>
      </c>
      <c r="E21" s="853"/>
    </row>
    <row r="22" spans="1:8">
      <c r="A22" s="312" t="s">
        <v>265</v>
      </c>
      <c r="B22" s="305" t="str">
        <f>INPUT!B6</f>
        <v>Kyle Edmonds</v>
      </c>
      <c r="C22" s="312"/>
      <c r="D22" s="857" t="s">
        <v>535</v>
      </c>
      <c r="E22" s="857"/>
    </row>
    <row r="23" spans="1:8">
      <c r="A23" s="312" t="s">
        <v>280</v>
      </c>
      <c r="B23" s="305">
        <f>INPUT!B7</f>
        <v>677</v>
      </c>
      <c r="C23" s="312"/>
      <c r="D23" s="857"/>
      <c r="E23" s="857"/>
      <c r="F23" s="302"/>
      <c r="G23" s="302"/>
      <c r="H23" s="302"/>
    </row>
    <row r="24" spans="1:8">
      <c r="A24" s="312" t="s">
        <v>302</v>
      </c>
      <c r="B24" s="305" t="s">
        <v>299</v>
      </c>
      <c r="C24" s="312"/>
      <c r="D24" s="858"/>
      <c r="E24" s="858"/>
    </row>
    <row r="25" spans="1:8">
      <c r="A25" s="854" t="s">
        <v>286</v>
      </c>
      <c r="B25" s="855"/>
      <c r="C25" s="855"/>
      <c r="D25" s="855"/>
      <c r="E25" s="856"/>
    </row>
    <row r="26" spans="1:8">
      <c r="A26" s="21"/>
      <c r="B26" s="21"/>
      <c r="C26" s="21"/>
      <c r="D26" s="21"/>
      <c r="E26" s="21"/>
      <c r="F26" s="302"/>
      <c r="G26" s="302"/>
      <c r="H26" s="302"/>
    </row>
    <row r="27" spans="1:8">
      <c r="A27" s="21"/>
      <c r="B27" s="21"/>
      <c r="C27" s="21"/>
      <c r="D27" s="21"/>
      <c r="E27" s="21"/>
    </row>
    <row r="28" spans="1:8">
      <c r="A28" s="21"/>
      <c r="B28" s="21"/>
      <c r="C28" s="21"/>
      <c r="D28" s="21"/>
      <c r="E28" s="21"/>
    </row>
    <row r="29" spans="1:8">
      <c r="A29" s="21"/>
      <c r="B29" s="21"/>
      <c r="C29" s="21"/>
      <c r="D29" s="21"/>
      <c r="E29" s="21"/>
    </row>
    <row r="30" spans="1:8">
      <c r="A30" s="21"/>
      <c r="B30" s="21"/>
      <c r="C30" s="21"/>
      <c r="D30" s="21"/>
      <c r="E30" s="21"/>
    </row>
    <row r="31" spans="1:8">
      <c r="A31" s="21"/>
      <c r="B31" s="21"/>
      <c r="C31" s="21"/>
      <c r="D31" s="21"/>
      <c r="E31" s="21"/>
    </row>
    <row r="32" spans="1:8">
      <c r="A32" s="21"/>
      <c r="B32" s="21"/>
      <c r="C32" s="21"/>
      <c r="D32" s="21"/>
      <c r="E32" s="21"/>
    </row>
    <row r="33" spans="1:5">
      <c r="A33" s="21"/>
      <c r="B33" s="848" t="s">
        <v>287</v>
      </c>
      <c r="C33" s="848"/>
      <c r="D33" s="848"/>
      <c r="E33" s="21"/>
    </row>
    <row r="34" spans="1:5">
      <c r="A34" s="21"/>
      <c r="B34" s="21"/>
      <c r="C34" s="21"/>
      <c r="D34" s="21"/>
      <c r="E34" s="21"/>
    </row>
    <row r="35" spans="1:5">
      <c r="A35" s="21"/>
      <c r="B35" s="21"/>
      <c r="C35" s="21"/>
      <c r="D35" s="21"/>
      <c r="E35" s="21"/>
    </row>
    <row r="36" spans="1:5">
      <c r="A36" s="21"/>
      <c r="B36" s="21"/>
      <c r="C36" s="21"/>
      <c r="D36" s="21"/>
      <c r="E36" s="21"/>
    </row>
    <row r="37" spans="1:5">
      <c r="A37" s="21"/>
      <c r="B37" s="21"/>
      <c r="C37" s="21"/>
      <c r="D37" s="21"/>
      <c r="E37" s="21"/>
    </row>
    <row r="38" spans="1:5">
      <c r="A38" s="21"/>
      <c r="B38" s="21"/>
      <c r="C38" s="21"/>
      <c r="D38" s="21"/>
      <c r="E38" s="21"/>
    </row>
    <row r="39" spans="1:5">
      <c r="A39" s="21"/>
      <c r="B39" s="21"/>
      <c r="C39" s="21"/>
      <c r="D39" s="21"/>
      <c r="E39" s="21"/>
    </row>
    <row r="40" spans="1:5">
      <c r="A40" s="21"/>
      <c r="B40" s="21"/>
      <c r="C40" s="21"/>
      <c r="D40" s="21"/>
      <c r="E40" s="21"/>
    </row>
    <row r="41" spans="1:5">
      <c r="A41" s="21"/>
      <c r="B41" s="21"/>
      <c r="C41" s="21"/>
      <c r="D41" s="21"/>
      <c r="E41" s="21"/>
    </row>
    <row r="42" spans="1:5">
      <c r="A42" s="21"/>
      <c r="B42" s="21"/>
      <c r="C42" s="21"/>
      <c r="D42" s="21"/>
      <c r="E42" s="21"/>
    </row>
    <row r="43" spans="1:5">
      <c r="A43" s="21"/>
      <c r="B43" s="21"/>
      <c r="C43" s="21"/>
      <c r="D43" s="21"/>
      <c r="E43" s="21"/>
    </row>
    <row r="44" spans="1:5">
      <c r="A44" s="21"/>
      <c r="B44" s="21"/>
      <c r="C44" s="21"/>
      <c r="D44" s="21"/>
      <c r="E44" s="21"/>
    </row>
    <row r="45" spans="1:5">
      <c r="A45" s="21"/>
      <c r="B45" s="21"/>
      <c r="C45" s="21"/>
      <c r="D45" s="21"/>
      <c r="E45" s="21"/>
    </row>
    <row r="46" spans="1:5">
      <c r="A46" s="21"/>
      <c r="B46" s="21"/>
      <c r="C46" s="21"/>
      <c r="D46" s="21"/>
      <c r="E46" s="21"/>
    </row>
  </sheetData>
  <sheetProtection formatColumns="0" formatRows="0" insertColumns="0" insertRows="0"/>
  <mergeCells count="10">
    <mergeCell ref="B33:D33"/>
    <mergeCell ref="A16:E16"/>
    <mergeCell ref="I8:K9"/>
    <mergeCell ref="A6:E6"/>
    <mergeCell ref="A7:E7"/>
    <mergeCell ref="A12:E12"/>
    <mergeCell ref="A25:E25"/>
    <mergeCell ref="A21:B21"/>
    <mergeCell ref="D21:E21"/>
    <mergeCell ref="D22:E24"/>
  </mergeCells>
  <printOptions horizontalCentered="1"/>
  <pageMargins left="0.25" right="0.25" top="0.5" bottom="0.5" header="0.3" footer="0.3"/>
  <pageSetup scale="42" orientation="portrait" r:id="rId1"/>
  <colBreaks count="1" manualBreakCount="1">
    <brk id="5"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PasteImage_Slot10">
                <anchor moveWithCells="1" sizeWithCells="1">
                  <from>
                    <xdr:col>5</xdr:col>
                    <xdr:colOff>160020</xdr:colOff>
                    <xdr:row>8</xdr:row>
                    <xdr:rowOff>60960</xdr:rowOff>
                  </from>
                  <to>
                    <xdr:col>6</xdr:col>
                    <xdr:colOff>30480</xdr:colOff>
                    <xdr:row>10</xdr:row>
                    <xdr:rowOff>152400</xdr:rowOff>
                  </to>
                </anchor>
              </controlPr>
            </control>
          </mc:Choice>
        </mc:AlternateContent>
        <mc:AlternateContent xmlns:mc="http://schemas.openxmlformats.org/markup-compatibility/2006">
          <mc:Choice Requires="x14">
            <control shapeId="5123" r:id="rId5" name="Button 3">
              <controlPr defaultSize="0" print="0" autoFill="0" autoPict="0" macro="[0]!InsertSatellite_Slot10">
                <anchor moveWithCells="1" sizeWithCells="1">
                  <from>
                    <xdr:col>6</xdr:col>
                    <xdr:colOff>769620</xdr:colOff>
                    <xdr:row>8</xdr:row>
                    <xdr:rowOff>60960</xdr:rowOff>
                  </from>
                  <to>
                    <xdr:col>7</xdr:col>
                    <xdr:colOff>640080</xdr:colOff>
                    <xdr:row>10</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5DDB8-B613-4371-A08C-DFE3916817EA}">
  <sheetPr codeName="Sheet22">
    <tabColor theme="9" tint="-0.249977111117893"/>
  </sheetPr>
  <dimension ref="A1:N44"/>
  <sheetViews>
    <sheetView showZeros="0" view="pageLayout" topLeftCell="A15" zoomScale="115" zoomScaleNormal="85" zoomScaleSheetLayoutView="160" zoomScalePageLayoutView="115" workbookViewId="0">
      <selection activeCell="A2" sqref="A2"/>
    </sheetView>
  </sheetViews>
  <sheetFormatPr defaultColWidth="2.109375" defaultRowHeight="14.4"/>
  <cols>
    <col min="1" max="7" width="9.88671875" customWidth="1"/>
    <col min="8" max="8" width="6.109375" customWidth="1"/>
    <col min="9" max="9" width="13.6640625" customWidth="1"/>
    <col min="10" max="10" width="9.88671875" customWidth="1"/>
    <col min="11" max="17" width="9.44140625" customWidth="1"/>
  </cols>
  <sheetData>
    <row r="1" spans="1:14" ht="17.100000000000001" customHeight="1">
      <c r="A1" s="317"/>
      <c r="B1" s="318"/>
      <c r="C1" s="318"/>
      <c r="D1" s="318"/>
      <c r="E1" s="318"/>
      <c r="F1" s="318"/>
      <c r="G1" s="318"/>
      <c r="H1" s="319"/>
      <c r="I1" s="319"/>
      <c r="J1" s="319"/>
      <c r="K1" s="51"/>
      <c r="L1" s="51"/>
      <c r="M1" s="51"/>
      <c r="N1" s="51"/>
    </row>
    <row r="2" spans="1:14" ht="17.100000000000001" customHeight="1">
      <c r="A2" s="317"/>
      <c r="B2" s="318"/>
      <c r="C2" s="318"/>
      <c r="D2" s="318"/>
      <c r="E2" s="860" t="s">
        <v>160</v>
      </c>
      <c r="F2" s="860"/>
      <c r="G2" s="860"/>
      <c r="H2" s="860"/>
      <c r="I2" s="860"/>
      <c r="J2" s="319"/>
      <c r="K2" s="51"/>
      <c r="L2" s="51"/>
      <c r="M2" s="51"/>
      <c r="N2" s="51"/>
    </row>
    <row r="3" spans="1:14" ht="17.100000000000001" customHeight="1">
      <c r="A3" s="317"/>
      <c r="B3" s="21"/>
      <c r="C3" s="21"/>
      <c r="D3" s="21"/>
      <c r="E3" s="320"/>
      <c r="F3" s="320"/>
      <c r="G3" s="320"/>
      <c r="H3" s="320"/>
      <c r="I3" s="319"/>
      <c r="J3" s="319"/>
      <c r="K3" s="51"/>
      <c r="L3" s="51"/>
      <c r="M3" s="51"/>
      <c r="N3" s="51"/>
    </row>
    <row r="4" spans="1:14" ht="17.100000000000001" customHeight="1">
      <c r="A4" s="317"/>
      <c r="B4" s="21"/>
      <c r="C4" s="21"/>
      <c r="D4" s="860" t="s">
        <v>155</v>
      </c>
      <c r="E4" s="860"/>
      <c r="F4" s="860"/>
      <c r="G4" s="860"/>
      <c r="H4" s="860"/>
      <c r="I4" s="860"/>
      <c r="J4" s="860"/>
      <c r="K4" s="51"/>
      <c r="L4" s="51"/>
      <c r="M4" s="51"/>
      <c r="N4" s="51"/>
    </row>
    <row r="5" spans="1:14" ht="17.100000000000001" customHeight="1">
      <c r="A5" s="317"/>
      <c r="B5" s="21"/>
      <c r="C5" s="21"/>
      <c r="D5" s="21"/>
      <c r="E5" s="321"/>
      <c r="F5" s="321"/>
      <c r="G5" s="321"/>
      <c r="H5" s="321"/>
      <c r="I5" s="319"/>
      <c r="J5" s="319"/>
      <c r="K5" s="51"/>
      <c r="L5" s="51"/>
      <c r="M5" s="51"/>
      <c r="N5" s="51"/>
    </row>
    <row r="6" spans="1:14" ht="17.100000000000001" customHeight="1">
      <c r="A6" s="317"/>
      <c r="B6" s="21"/>
      <c r="C6" s="318"/>
      <c r="D6" s="318"/>
      <c r="E6" s="318"/>
      <c r="F6" s="318"/>
      <c r="G6" s="318"/>
      <c r="H6" s="319"/>
      <c r="I6" s="319"/>
      <c r="J6" s="319"/>
      <c r="K6" s="51"/>
      <c r="L6" s="51"/>
      <c r="M6" s="51"/>
      <c r="N6" s="51"/>
    </row>
    <row r="7" spans="1:14" ht="17.100000000000001" customHeight="1">
      <c r="A7" s="317"/>
      <c r="B7" s="21"/>
      <c r="C7" s="321"/>
      <c r="D7" s="21"/>
      <c r="E7" s="861" t="str">
        <f>"ASSESSMENT APPEAL BOARD #"&amp;INPUT!B18</f>
        <v>ASSESSMENT APPEAL BOARD #</v>
      </c>
      <c r="F7" s="861"/>
      <c r="G7" s="861"/>
      <c r="H7" s="861"/>
      <c r="I7" s="861"/>
      <c r="J7" s="319"/>
      <c r="K7" s="51"/>
      <c r="L7" s="51"/>
      <c r="M7" s="51"/>
      <c r="N7" s="51"/>
    </row>
    <row r="8" spans="1:14" ht="17.100000000000001" customHeight="1">
      <c r="A8" s="317"/>
      <c r="B8" s="318"/>
      <c r="C8" s="318"/>
      <c r="D8" s="318"/>
      <c r="E8" s="318"/>
      <c r="F8" s="318"/>
      <c r="G8" s="318"/>
      <c r="H8" s="319"/>
      <c r="I8" s="319"/>
      <c r="J8" s="319"/>
      <c r="K8" s="51"/>
      <c r="L8" s="51"/>
      <c r="M8" s="51"/>
      <c r="N8" s="51"/>
    </row>
    <row r="9" spans="1:14" ht="17.100000000000001" customHeight="1">
      <c r="A9" s="317"/>
      <c r="B9" s="318"/>
      <c r="C9" s="318"/>
      <c r="D9" s="318"/>
      <c r="E9" s="318"/>
      <c r="F9" s="318"/>
      <c r="G9" s="318"/>
      <c r="H9" s="319"/>
      <c r="I9" s="319"/>
      <c r="J9" s="319"/>
      <c r="K9" s="51"/>
      <c r="L9" s="51"/>
      <c r="M9" s="51"/>
      <c r="N9" s="51"/>
    </row>
    <row r="10" spans="1:14" ht="17.100000000000001" customHeight="1">
      <c r="A10" s="317"/>
      <c r="B10" s="21"/>
      <c r="C10" s="21"/>
      <c r="D10" s="21"/>
      <c r="E10" s="21"/>
      <c r="F10" s="21"/>
      <c r="G10" s="21"/>
      <c r="H10" s="319"/>
      <c r="I10" s="319"/>
      <c r="J10" s="319"/>
      <c r="K10" s="51"/>
      <c r="L10" s="51"/>
      <c r="M10" s="51"/>
      <c r="N10" s="51"/>
    </row>
    <row r="11" spans="1:14" ht="17.100000000000001" customHeight="1">
      <c r="A11" s="317"/>
      <c r="B11" s="21"/>
      <c r="C11" s="21"/>
      <c r="D11" s="21"/>
      <c r="E11" s="21"/>
      <c r="F11" s="21"/>
      <c r="G11" s="21"/>
      <c r="H11" s="319"/>
      <c r="I11" s="319"/>
      <c r="J11" s="319"/>
      <c r="K11" s="51"/>
      <c r="L11" s="51"/>
      <c r="M11" s="51"/>
      <c r="N11" s="51"/>
    </row>
    <row r="12" spans="1:14" ht="17.100000000000001" customHeight="1">
      <c r="A12" s="255"/>
      <c r="B12" s="255"/>
      <c r="C12" s="255"/>
      <c r="D12" s="255"/>
      <c r="E12" s="255"/>
      <c r="F12" s="255"/>
      <c r="G12" s="255"/>
      <c r="H12" s="255"/>
      <c r="I12" s="255"/>
      <c r="J12" s="255"/>
      <c r="K12" s="2"/>
      <c r="L12" s="2"/>
      <c r="M12" s="2"/>
      <c r="N12" s="2"/>
    </row>
    <row r="13" spans="1:14" ht="17.100000000000001" customHeight="1">
      <c r="A13" s="255"/>
      <c r="B13" s="255"/>
      <c r="C13" s="255"/>
      <c r="D13" s="255"/>
      <c r="E13" s="255"/>
      <c r="F13" s="255"/>
      <c r="G13" s="255"/>
      <c r="H13" s="255"/>
      <c r="I13" s="255"/>
      <c r="J13" s="255"/>
      <c r="K13" s="2"/>
      <c r="L13" s="2"/>
      <c r="M13" s="2"/>
      <c r="N13" s="2"/>
    </row>
    <row r="14" spans="1:14" ht="17.100000000000001" customHeight="1">
      <c r="A14" s="862" t="str">
        <f>CONCATENATE("HEARING DATE: ",TEXT(INPUT!B17, "mm/DD/YYYY"))</f>
        <v>HEARING DATE: 01/00/1900</v>
      </c>
      <c r="B14" s="862"/>
      <c r="C14" s="862"/>
      <c r="D14" s="862"/>
      <c r="E14" s="862"/>
      <c r="F14" s="862"/>
      <c r="G14" s="862"/>
      <c r="H14" s="862"/>
      <c r="I14" s="862"/>
      <c r="J14" s="862"/>
      <c r="K14" s="12"/>
      <c r="L14" s="12"/>
      <c r="M14" s="12"/>
      <c r="N14" s="12"/>
    </row>
    <row r="15" spans="1:14" ht="17.100000000000001" customHeight="1">
      <c r="A15" s="21"/>
      <c r="B15" s="322"/>
      <c r="C15" s="322"/>
      <c r="D15" s="322"/>
      <c r="E15" s="22"/>
      <c r="F15" s="322"/>
      <c r="G15" s="322"/>
      <c r="H15" s="22"/>
      <c r="I15" s="22"/>
      <c r="J15" s="22"/>
      <c r="K15" s="12"/>
      <c r="L15" s="12"/>
      <c r="M15" s="12"/>
      <c r="N15" s="12"/>
    </row>
    <row r="16" spans="1:14" ht="17.100000000000001" customHeight="1">
      <c r="A16" s="863" t="s">
        <v>156</v>
      </c>
      <c r="B16" s="863"/>
      <c r="C16" s="863"/>
      <c r="D16" s="863"/>
      <c r="E16" s="863"/>
      <c r="F16" s="863"/>
      <c r="G16" s="863"/>
      <c r="H16" s="863"/>
      <c r="I16" s="863"/>
      <c r="J16" s="863"/>
      <c r="K16" s="50"/>
      <c r="L16" s="50"/>
      <c r="M16" s="50"/>
      <c r="N16" s="50"/>
    </row>
    <row r="17" spans="1:14" ht="17.100000000000001" customHeight="1">
      <c r="A17" s="21"/>
      <c r="B17" s="323"/>
      <c r="C17" s="323"/>
      <c r="D17" s="323"/>
      <c r="E17" s="323"/>
      <c r="F17" s="323"/>
      <c r="G17" s="323"/>
      <c r="H17" s="324"/>
      <c r="I17" s="324"/>
      <c r="J17" s="324"/>
      <c r="K17" s="50"/>
      <c r="L17" s="50"/>
      <c r="M17" s="50"/>
      <c r="N17" s="50"/>
    </row>
    <row r="18" spans="1:14" ht="17.100000000000001" customHeight="1">
      <c r="A18" s="859">
        <f>INPUT!B16</f>
        <v>0</v>
      </c>
      <c r="B18" s="859"/>
      <c r="C18" s="859"/>
      <c r="D18" s="859"/>
      <c r="E18" s="859"/>
      <c r="F18" s="859"/>
      <c r="G18" s="859"/>
      <c r="H18" s="859"/>
      <c r="I18" s="859"/>
      <c r="J18" s="859"/>
      <c r="K18" s="49"/>
      <c r="L18" s="49"/>
      <c r="M18" s="49"/>
      <c r="N18" s="49"/>
    </row>
    <row r="19" spans="1:14" ht="17.100000000000001" customHeight="1">
      <c r="A19" s="106"/>
      <c r="B19" s="325"/>
      <c r="C19" s="325"/>
      <c r="D19" s="325"/>
      <c r="E19" s="325"/>
      <c r="F19" s="325"/>
      <c r="G19" s="325"/>
      <c r="H19" s="326"/>
      <c r="I19" s="326"/>
      <c r="J19" s="326"/>
      <c r="K19" s="49"/>
      <c r="L19" s="49"/>
      <c r="M19" s="49"/>
      <c r="N19" s="49"/>
    </row>
    <row r="20" spans="1:14" ht="17.100000000000001" customHeight="1">
      <c r="A20" s="327"/>
      <c r="B20" s="325"/>
      <c r="C20" s="325"/>
      <c r="D20" s="325"/>
      <c r="E20" s="325"/>
      <c r="F20" s="325"/>
      <c r="G20" s="325"/>
      <c r="H20" s="326"/>
      <c r="I20" s="326"/>
      <c r="J20" s="326"/>
      <c r="K20" s="49"/>
      <c r="L20" s="49"/>
      <c r="M20" s="49"/>
      <c r="N20" s="49"/>
    </row>
    <row r="21" spans="1:14" ht="17.100000000000001" customHeight="1">
      <c r="A21" s="327"/>
      <c r="B21" s="325"/>
      <c r="C21" s="325"/>
      <c r="D21" s="325"/>
      <c r="E21" s="325"/>
      <c r="F21" s="325"/>
      <c r="G21" s="325"/>
      <c r="H21" s="326"/>
      <c r="I21" s="326"/>
      <c r="J21" s="326"/>
      <c r="K21" s="49"/>
      <c r="L21" s="49"/>
      <c r="M21" s="49"/>
      <c r="N21" s="49"/>
    </row>
    <row r="22" spans="1:14" ht="17.100000000000001" customHeight="1">
      <c r="A22" s="327"/>
      <c r="B22" s="325"/>
      <c r="C22" s="325"/>
      <c r="D22" s="325"/>
      <c r="E22" s="325"/>
      <c r="F22" s="325"/>
      <c r="G22" s="325"/>
      <c r="H22" s="326"/>
      <c r="I22" s="326"/>
      <c r="J22" s="326"/>
      <c r="K22" s="49"/>
      <c r="L22" s="49"/>
      <c r="M22" s="49"/>
      <c r="N22" s="49"/>
    </row>
    <row r="23" spans="1:14" ht="17.100000000000001" customHeight="1">
      <c r="A23" s="327"/>
      <c r="B23" s="325"/>
      <c r="C23" s="325"/>
      <c r="D23" s="325"/>
      <c r="E23" s="325"/>
      <c r="F23" s="325"/>
      <c r="G23" s="325"/>
      <c r="H23" s="326"/>
      <c r="I23" s="326"/>
      <c r="J23" s="326"/>
      <c r="K23" s="49"/>
      <c r="L23" s="49"/>
      <c r="M23" s="49"/>
      <c r="N23" s="49"/>
    </row>
    <row r="24" spans="1:14" ht="20.25" customHeight="1">
      <c r="A24" s="21"/>
      <c r="B24" s="239"/>
      <c r="C24" s="21"/>
      <c r="D24" s="239" t="s">
        <v>49</v>
      </c>
      <c r="E24" s="238"/>
      <c r="F24" s="864" t="str">
        <f>PROPER(INPUT!B19)</f>
        <v/>
      </c>
      <c r="G24" s="864"/>
      <c r="H24" s="864"/>
      <c r="I24" s="864"/>
      <c r="J24" s="326"/>
      <c r="K24" s="49"/>
    </row>
    <row r="25" spans="1:14" s="47" customFormat="1" ht="17.100000000000001" customHeight="1">
      <c r="A25" s="234"/>
      <c r="B25" s="234"/>
      <c r="C25" s="234"/>
      <c r="D25" s="234"/>
      <c r="E25" s="234"/>
      <c r="F25" s="864"/>
      <c r="G25" s="864"/>
      <c r="H25" s="864"/>
      <c r="I25" s="864"/>
      <c r="J25" s="328"/>
      <c r="K25" s="48"/>
    </row>
    <row r="26" spans="1:14" s="47" customFormat="1" ht="17.100000000000001" customHeight="1">
      <c r="A26" s="234"/>
      <c r="B26" s="234"/>
      <c r="C26" s="234"/>
      <c r="D26" s="239" t="s">
        <v>48</v>
      </c>
      <c r="E26" s="238"/>
      <c r="F26" s="865" t="str">
        <f>PROPER(INPUT!B20)</f>
        <v/>
      </c>
      <c r="G26" s="865"/>
      <c r="H26" s="865"/>
      <c r="I26" s="865"/>
      <c r="J26" s="234"/>
    </row>
    <row r="27" spans="1:14" s="47" customFormat="1" ht="17.100000000000001" customHeight="1">
      <c r="A27" s="234"/>
      <c r="B27" s="234"/>
      <c r="C27" s="234"/>
      <c r="D27" s="234"/>
      <c r="E27" s="234"/>
      <c r="F27" s="236"/>
      <c r="G27" s="328"/>
      <c r="H27" s="328"/>
      <c r="I27" s="328"/>
      <c r="J27" s="328"/>
      <c r="K27" s="48"/>
      <c r="L27" s="48"/>
    </row>
    <row r="28" spans="1:14" s="47" customFormat="1" ht="17.100000000000001" customHeight="1">
      <c r="A28" s="234"/>
      <c r="B28" s="239"/>
      <c r="C28" s="327"/>
      <c r="D28" s="234"/>
      <c r="E28" s="330"/>
      <c r="F28" s="330"/>
      <c r="G28" s="331"/>
      <c r="H28" s="331"/>
      <c r="I28" s="329"/>
      <c r="J28" s="329"/>
    </row>
    <row r="29" spans="1:14" s="47" customFormat="1" ht="17.100000000000001" customHeight="1">
      <c r="A29" s="234"/>
      <c r="B29" s="239"/>
      <c r="C29" s="327"/>
      <c r="D29" s="234"/>
      <c r="E29" s="330"/>
      <c r="F29" s="330"/>
      <c r="G29" s="331"/>
      <c r="H29" s="331"/>
      <c r="I29" s="329"/>
      <c r="J29" s="329"/>
    </row>
    <row r="30" spans="1:14" s="47" customFormat="1" ht="17.100000000000001" customHeight="1">
      <c r="A30" s="234"/>
      <c r="B30" s="234"/>
      <c r="C30" s="234"/>
      <c r="D30" s="234"/>
      <c r="E30" s="234"/>
      <c r="F30" s="234"/>
      <c r="G30" s="234"/>
      <c r="H30" s="234"/>
      <c r="I30" s="234"/>
      <c r="J30" s="234"/>
    </row>
    <row r="31" spans="1:14" s="47" customFormat="1" ht="17.100000000000001" customHeight="1">
      <c r="A31" s="234"/>
      <c r="B31" s="234"/>
      <c r="C31" s="239"/>
      <c r="D31" s="239" t="s">
        <v>47</v>
      </c>
      <c r="E31" s="239"/>
      <c r="F31" s="867">
        <f>INPUT!B25</f>
        <v>0</v>
      </c>
      <c r="G31" s="867"/>
      <c r="H31" s="867"/>
      <c r="I31" s="332" t="str">
        <f>"$"&amp;ROUND(F31/INPUT!B35,0)&amp;"/sqft"</f>
        <v>$0/sqft</v>
      </c>
      <c r="J31" s="240"/>
    </row>
    <row r="32" spans="1:14" s="47" customFormat="1" ht="17.100000000000001" customHeight="1">
      <c r="A32" s="234"/>
      <c r="B32" s="235"/>
      <c r="C32" s="235"/>
      <c r="D32" s="235"/>
      <c r="E32" s="235"/>
      <c r="F32" s="234"/>
      <c r="G32" s="236"/>
      <c r="H32" s="237"/>
      <c r="I32" s="234"/>
      <c r="J32" s="234"/>
    </row>
    <row r="33" spans="1:14" s="47" customFormat="1" ht="17.100000000000001" customHeight="1">
      <c r="A33" s="234"/>
      <c r="B33" s="234"/>
      <c r="C33" s="238"/>
      <c r="D33" s="239" t="s">
        <v>4</v>
      </c>
      <c r="E33" s="238"/>
      <c r="F33" s="867">
        <f>INPUT!B27</f>
        <v>0</v>
      </c>
      <c r="G33" s="867"/>
      <c r="H33" s="867"/>
      <c r="I33" s="332" t="str">
        <f>"$"&amp;ROUND(F33/INPUT!B35,0)&amp;"/sqft"</f>
        <v>$0/sqft</v>
      </c>
      <c r="J33" s="240"/>
    </row>
    <row r="34" spans="1:14" s="47" customFormat="1" ht="17.100000000000001" customHeight="1">
      <c r="A34" s="234"/>
      <c r="B34" s="235"/>
      <c r="C34" s="235"/>
      <c r="D34" s="235"/>
      <c r="E34" s="235"/>
      <c r="F34" s="234"/>
      <c r="G34" s="236"/>
      <c r="H34" s="237"/>
      <c r="I34" s="234"/>
      <c r="J34" s="234"/>
      <c r="K34" s="234"/>
      <c r="L34" s="234"/>
      <c r="M34" s="234"/>
      <c r="N34" s="234"/>
    </row>
    <row r="35" spans="1:14" s="47" customFormat="1" ht="17.100000000000001" customHeight="1">
      <c r="A35" s="234"/>
      <c r="B35" s="234"/>
      <c r="C35" s="238"/>
      <c r="D35" s="239" t="s">
        <v>5</v>
      </c>
      <c r="E35" s="238"/>
      <c r="F35" s="867">
        <f>INPUT!B26</f>
        <v>3928960</v>
      </c>
      <c r="G35" s="867"/>
      <c r="H35" s="867"/>
      <c r="I35" s="332" t="str">
        <f>"$" &amp; TEXT(ROUND(F35/INPUT!B35,0), "#,##0") &amp; "/sqft"</f>
        <v>$375/sqft</v>
      </c>
      <c r="J35" s="240"/>
      <c r="K35" s="234"/>
      <c r="L35" s="234"/>
      <c r="M35" s="234"/>
      <c r="N35" s="234"/>
    </row>
    <row r="36" spans="1:14" ht="17.100000000000001" customHeight="1">
      <c r="A36" s="333"/>
      <c r="B36" s="21"/>
      <c r="C36" s="21"/>
      <c r="D36" s="21"/>
      <c r="E36" s="21"/>
      <c r="F36" s="21"/>
      <c r="G36" s="21"/>
      <c r="H36" s="21"/>
      <c r="I36" s="21"/>
      <c r="J36" s="334"/>
      <c r="K36" s="46"/>
      <c r="L36" s="46"/>
      <c r="M36" s="46"/>
      <c r="N36" s="46"/>
    </row>
    <row r="37" spans="1:14" ht="17.100000000000001" customHeight="1">
      <c r="A37" s="333"/>
      <c r="B37" s="21"/>
      <c r="C37" s="21"/>
      <c r="D37" s="21"/>
      <c r="E37" s="21"/>
      <c r="F37" s="21"/>
      <c r="G37" s="21"/>
      <c r="H37" s="21"/>
      <c r="I37" s="21"/>
      <c r="J37" s="334"/>
      <c r="K37" s="46"/>
      <c r="L37" s="46"/>
      <c r="M37" s="46"/>
      <c r="N37" s="46"/>
    </row>
    <row r="38" spans="1:14" ht="17.100000000000001" customHeight="1">
      <c r="A38" s="333"/>
      <c r="B38" s="21"/>
      <c r="C38" s="21"/>
      <c r="D38" s="21"/>
      <c r="E38" s="21"/>
      <c r="F38" s="21"/>
      <c r="G38" s="21"/>
      <c r="H38" s="21"/>
      <c r="I38" s="21"/>
      <c r="J38" s="334"/>
      <c r="K38" s="46"/>
      <c r="L38" s="46"/>
      <c r="M38" s="46"/>
      <c r="N38" s="46"/>
    </row>
    <row r="39" spans="1:14" ht="17.100000000000001" customHeight="1">
      <c r="A39" s="333"/>
      <c r="B39" s="21"/>
      <c r="C39" s="21"/>
      <c r="D39" s="21"/>
      <c r="E39" s="21"/>
      <c r="F39" s="21"/>
      <c r="G39" s="21"/>
      <c r="H39" s="21"/>
      <c r="I39" s="21"/>
      <c r="J39" s="334"/>
      <c r="K39" s="46"/>
      <c r="L39" s="46"/>
      <c r="M39" s="46"/>
      <c r="N39" s="46"/>
    </row>
    <row r="40" spans="1:14" ht="17.100000000000001" customHeight="1">
      <c r="A40" s="333"/>
      <c r="B40" s="335"/>
      <c r="C40" s="335"/>
      <c r="D40" s="335"/>
      <c r="E40" s="335"/>
      <c r="F40" s="335"/>
      <c r="G40" s="335"/>
      <c r="H40" s="334"/>
      <c r="I40" s="334"/>
      <c r="J40" s="334"/>
      <c r="K40" s="46"/>
      <c r="L40" s="46"/>
      <c r="M40" s="46"/>
      <c r="N40" s="46"/>
    </row>
    <row r="41" spans="1:14" ht="17.100000000000001" customHeight="1">
      <c r="A41" s="868" t="str">
        <f>CONCATENATE("PRESENTED BY: ",TEXT(INPUT!B6,"")," - APPRAISER")</f>
        <v>PRESENTED BY: Kyle Edmonds - APPRAISER</v>
      </c>
      <c r="B41" s="868"/>
      <c r="C41" s="868"/>
      <c r="D41" s="868"/>
      <c r="E41" s="868"/>
      <c r="F41" s="868"/>
      <c r="G41" s="868"/>
      <c r="H41" s="868"/>
      <c r="I41" s="868"/>
      <c r="J41" s="868"/>
      <c r="K41" s="46"/>
      <c r="L41" s="46"/>
      <c r="M41" s="46"/>
      <c r="N41" s="46"/>
    </row>
    <row r="42" spans="1:14" ht="17.100000000000001" customHeight="1">
      <c r="A42" s="866" t="s">
        <v>46</v>
      </c>
      <c r="B42" s="866"/>
      <c r="C42" s="866"/>
      <c r="D42" s="866"/>
      <c r="E42" s="866"/>
      <c r="F42" s="866"/>
      <c r="G42" s="866"/>
      <c r="H42" s="866"/>
      <c r="I42" s="866"/>
      <c r="J42" s="866"/>
    </row>
    <row r="43" spans="1:14" ht="17.100000000000001" customHeight="1">
      <c r="A43" s="866" t="s">
        <v>45</v>
      </c>
      <c r="B43" s="866"/>
      <c r="C43" s="866"/>
      <c r="D43" s="866"/>
      <c r="E43" s="866"/>
      <c r="F43" s="866"/>
      <c r="G43" s="866"/>
      <c r="H43" s="866"/>
      <c r="I43" s="866"/>
      <c r="J43" s="866"/>
    </row>
    <row r="44" spans="1:14" ht="17.100000000000001" customHeight="1">
      <c r="A44" s="866" t="s">
        <v>44</v>
      </c>
      <c r="B44" s="866"/>
      <c r="C44" s="866"/>
      <c r="D44" s="866"/>
      <c r="E44" s="866"/>
      <c r="F44" s="866"/>
      <c r="G44" s="866"/>
      <c r="H44" s="866"/>
      <c r="I44" s="866"/>
      <c r="J44" s="866"/>
    </row>
  </sheetData>
  <mergeCells count="15">
    <mergeCell ref="F24:I25"/>
    <mergeCell ref="F26:I26"/>
    <mergeCell ref="A42:J42"/>
    <mergeCell ref="A43:J43"/>
    <mergeCell ref="A44:J44"/>
    <mergeCell ref="F31:H31"/>
    <mergeCell ref="F33:H33"/>
    <mergeCell ref="F35:H35"/>
    <mergeCell ref="A41:J41"/>
    <mergeCell ref="A18:J18"/>
    <mergeCell ref="E2:I2"/>
    <mergeCell ref="D4:J4"/>
    <mergeCell ref="E7:I7"/>
    <mergeCell ref="A14:J14"/>
    <mergeCell ref="A16:J16"/>
  </mergeCells>
  <printOptions horizontalCentered="1" verticalCentered="1"/>
  <pageMargins left="0.25" right="0.25" top="0.5" bottom="0.5" header="0.3" footer="0.3"/>
  <pageSetup orientation="portrait" r:id="rId1"/>
  <headerFooter scaleWithDoc="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95D3C-0590-4591-A7EE-38B81260756F}">
  <sheetPr codeName="Sheet42">
    <tabColor theme="9" tint="-0.249977111117893"/>
  </sheetPr>
  <dimension ref="A1:R50"/>
  <sheetViews>
    <sheetView showZeros="0" view="pageBreakPreview" zoomScale="160" zoomScaleNormal="85" zoomScaleSheetLayoutView="160" zoomScalePageLayoutView="85" workbookViewId="0">
      <selection activeCell="J20" sqref="J20"/>
    </sheetView>
  </sheetViews>
  <sheetFormatPr defaultColWidth="9.109375" defaultRowHeight="13.8"/>
  <cols>
    <col min="1" max="5" width="9.109375" style="24"/>
    <col min="6" max="6" width="14.6640625" style="24" customWidth="1"/>
    <col min="7" max="7" width="9.109375" style="24"/>
    <col min="8" max="8" width="15.6640625" style="24" bestFit="1" customWidth="1"/>
    <col min="9" max="9" width="18.44140625" style="24" customWidth="1"/>
    <col min="10" max="12" width="9.109375" style="24"/>
    <col min="13" max="13" width="8.88671875" style="24" customWidth="1"/>
    <col min="14" max="16384" width="9.109375" style="24"/>
  </cols>
  <sheetData>
    <row r="1" spans="1:18" ht="14.4">
      <c r="A1" s="271">
        <v>0</v>
      </c>
      <c r="B1" s="21"/>
      <c r="C1" s="21"/>
      <c r="D1" s="21"/>
      <c r="E1" s="21"/>
      <c r="F1" s="21"/>
      <c r="G1" s="21"/>
      <c r="H1" s="21"/>
      <c r="I1" s="21"/>
    </row>
    <row r="2" spans="1:18" s="56" customFormat="1" ht="20.85" customHeight="1">
      <c r="A2" s="870" t="s">
        <v>54</v>
      </c>
      <c r="B2" s="870"/>
      <c r="C2" s="870"/>
      <c r="D2" s="870"/>
      <c r="E2" s="870"/>
      <c r="F2" s="870"/>
      <c r="G2" s="870"/>
      <c r="H2" s="870"/>
      <c r="I2" s="870"/>
      <c r="J2" s="57"/>
      <c r="K2" s="57"/>
      <c r="L2" s="57"/>
      <c r="M2" s="57"/>
    </row>
    <row r="3" spans="1:18" ht="14.4">
      <c r="A3" s="21"/>
      <c r="B3" s="21"/>
      <c r="C3" s="21"/>
      <c r="D3" s="21"/>
      <c r="E3" s="21"/>
      <c r="F3" s="21"/>
      <c r="G3" s="21"/>
      <c r="H3" s="21"/>
      <c r="I3" s="21"/>
    </row>
    <row r="4" spans="1:18" ht="18">
      <c r="A4" s="336" t="s">
        <v>53</v>
      </c>
      <c r="B4" s="21"/>
      <c r="C4" s="21"/>
      <c r="D4" s="21"/>
      <c r="E4" s="21"/>
      <c r="F4" s="21"/>
      <c r="G4" s="21"/>
      <c r="H4" s="21"/>
      <c r="I4" s="21"/>
    </row>
    <row r="5" spans="1:18" ht="16.5" customHeight="1">
      <c r="A5" s="869" t="str">
        <f>CONCATENATE("This is a ", IF(INPUT!M2=TRUE,"Proposition 8",""),IF(INPUT!M3=TRUE,"base year",""), " appeal contesting the roll value for the ", TEXT(INPUT!D3,""), " tax assessment year. The effective date of this appraisal is ", TEXT(INPUT!B5,"mmmm, dd, yyyy"), ". As required by Section 1 of Article XIII of the California Constitution, Revenue and Taxation sections 110 and 110.1, and Property Tax Rule 2, the interest being appraised is fee simple, unencumbered.")</f>
        <v>This is a  appeal contesting the roll value for the 2026/2027 tax assessment year. The effective date of this appraisal is January, 09, 2026. As required by Section 1 of Article XIII of the California Constitution, Revenue and Taxation sections 110 and 110.1, and Property Tax Rule 2, the interest being appraised is fee simple, unencumbered.</v>
      </c>
      <c r="B5" s="869"/>
      <c r="C5" s="869"/>
      <c r="D5" s="869"/>
      <c r="E5" s="869"/>
      <c r="F5" s="869"/>
      <c r="G5" s="869"/>
      <c r="H5" s="869"/>
      <c r="I5" s="869"/>
      <c r="J5" s="54"/>
      <c r="K5" s="54"/>
      <c r="L5" s="54"/>
      <c r="M5" s="54"/>
    </row>
    <row r="6" spans="1:18">
      <c r="A6" s="869"/>
      <c r="B6" s="869"/>
      <c r="C6" s="869"/>
      <c r="D6" s="869"/>
      <c r="E6" s="869"/>
      <c r="F6" s="869"/>
      <c r="G6" s="869"/>
      <c r="H6" s="869"/>
      <c r="I6" s="869"/>
      <c r="J6" s="54"/>
      <c r="K6" s="54"/>
      <c r="L6" s="54"/>
      <c r="M6" s="54"/>
    </row>
    <row r="7" spans="1:18">
      <c r="A7" s="869"/>
      <c r="B7" s="869"/>
      <c r="C7" s="869"/>
      <c r="D7" s="869"/>
      <c r="E7" s="869"/>
      <c r="F7" s="869"/>
      <c r="G7" s="869"/>
      <c r="H7" s="869"/>
      <c r="I7" s="869"/>
      <c r="J7" s="54"/>
      <c r="K7" s="54"/>
      <c r="L7" s="54"/>
      <c r="M7" s="54"/>
    </row>
    <row r="8" spans="1:18" ht="18">
      <c r="A8" s="336" t="s">
        <v>52</v>
      </c>
      <c r="B8" s="21"/>
      <c r="C8" s="21"/>
      <c r="D8" s="21"/>
      <c r="E8" s="21"/>
      <c r="F8" s="21"/>
      <c r="G8" s="21"/>
      <c r="H8" s="21"/>
      <c r="I8" s="21"/>
      <c r="J8" s="55"/>
      <c r="K8" s="55"/>
      <c r="L8" s="55"/>
      <c r="M8" s="55"/>
      <c r="N8" s="55"/>
      <c r="O8" s="55"/>
      <c r="P8" s="55"/>
      <c r="Q8" s="55"/>
      <c r="R8" s="55"/>
    </row>
    <row r="9" spans="1:18" ht="16.5" customHeight="1">
      <c r="A9" s="869" t="str">
        <f>CONCATENATE("The subject property is a ",TEXT(INPUT!B34,"#,###,###")," sqft ",PROPER(TEXT(INPUT!B33,""))," building built in ",TEXT(INPUT!B36,"####")," that is located at ",PROPER(TEXT(INPUT!B31,""))," in ",PROPER(TEXT(INPUT!B32,"")),", CA. The nearest major intersection is ",PROPER(TEXT(INPUT!B43,"#.##")),". The subject property is in ",LOWER(TEXT(INPUT!B41,""))," condition.")</f>
        <v>The subject property is a 10,490 sqft Light Industrial building built in 2001 that is located at 1215 Graphite Dr in Corona, CA. The nearest major intersection is Graphite Dr &amp; California Ave. The subject property is in average condition.</v>
      </c>
      <c r="B9" s="869"/>
      <c r="C9" s="869"/>
      <c r="D9" s="869"/>
      <c r="E9" s="869"/>
      <c r="F9" s="869"/>
      <c r="G9" s="869"/>
      <c r="H9" s="869"/>
      <c r="I9" s="869"/>
      <c r="J9" s="54"/>
      <c r="K9" s="54"/>
      <c r="L9" s="54"/>
      <c r="M9" s="54"/>
      <c r="N9" s="55"/>
      <c r="O9" s="55"/>
      <c r="P9" s="55"/>
      <c r="Q9" s="55"/>
      <c r="R9" s="55"/>
    </row>
    <row r="10" spans="1:18">
      <c r="A10" s="869"/>
      <c r="B10" s="869"/>
      <c r="C10" s="869"/>
      <c r="D10" s="869"/>
      <c r="E10" s="869"/>
      <c r="F10" s="869"/>
      <c r="G10" s="869"/>
      <c r="H10" s="869"/>
      <c r="I10" s="869"/>
      <c r="J10" s="54"/>
      <c r="K10" s="54"/>
      <c r="L10" s="54"/>
      <c r="M10" s="54"/>
      <c r="N10" s="55"/>
      <c r="O10" s="55"/>
      <c r="P10" s="55"/>
      <c r="Q10" s="55"/>
      <c r="R10" s="55"/>
    </row>
    <row r="11" spans="1:18" ht="16.5" customHeight="1">
      <c r="A11" s="869" t="str">
        <f>CONCATENATE("As of the date of valuation, the property was occupied by ", (TEXT(INPUT!B44,"")),".")</f>
        <v>As of the date of valuation, the property was occupied by Light Industrial.</v>
      </c>
      <c r="B11" s="869"/>
      <c r="C11" s="869"/>
      <c r="D11" s="869"/>
      <c r="E11" s="869"/>
      <c r="F11" s="869"/>
      <c r="G11" s="869"/>
      <c r="H11" s="869"/>
      <c r="I11" s="869"/>
      <c r="J11" s="54"/>
      <c r="K11" s="54"/>
      <c r="L11" s="54"/>
      <c r="M11" s="54"/>
      <c r="N11" s="55"/>
      <c r="O11" s="55"/>
      <c r="P11" s="55"/>
      <c r="Q11" s="55"/>
      <c r="R11" s="55"/>
    </row>
    <row r="12" spans="1:18">
      <c r="A12" s="869"/>
      <c r="B12" s="869"/>
      <c r="C12" s="869"/>
      <c r="D12" s="869"/>
      <c r="E12" s="869"/>
      <c r="F12" s="869"/>
      <c r="G12" s="869"/>
      <c r="H12" s="869"/>
      <c r="I12" s="869"/>
      <c r="J12" s="54"/>
      <c r="K12" s="54"/>
      <c r="L12" s="54"/>
      <c r="M12" s="54"/>
      <c r="N12" s="55"/>
      <c r="O12" s="55"/>
      <c r="P12" s="55"/>
      <c r="Q12" s="55"/>
      <c r="R12" s="55"/>
    </row>
    <row r="13" spans="1:18" ht="18">
      <c r="A13" s="336" t="s">
        <v>51</v>
      </c>
      <c r="B13" s="21"/>
      <c r="C13" s="21"/>
      <c r="D13" s="21"/>
      <c r="E13" s="21"/>
      <c r="F13" s="21"/>
      <c r="G13" s="21"/>
      <c r="H13" s="21"/>
      <c r="I13" s="21"/>
      <c r="J13" s="55"/>
      <c r="K13" s="55"/>
      <c r="L13" s="55"/>
      <c r="M13" s="55"/>
      <c r="N13" s="55"/>
      <c r="O13" s="55"/>
      <c r="P13" s="55"/>
      <c r="Q13" s="55"/>
      <c r="R13" s="55"/>
    </row>
    <row r="14" spans="1:18" ht="16.5" customHeight="1">
      <c r="A14" s="869" t="str">
        <f>CONCATENATE("The Income Approach utilizes the direct capitalization method, which converts expected income into an indicator of market value.")&amp;CONCATENATE(" Please refer to rent comparables and other relevant market infomation contained within this packet.")</f>
        <v>The Income Approach utilizes the direct capitalization method, which converts expected income into an indicator of market value. Please refer to rent comparables and other relevant market infomation contained within this packet.</v>
      </c>
      <c r="B14" s="869"/>
      <c r="C14" s="869"/>
      <c r="D14" s="869"/>
      <c r="E14" s="869"/>
      <c r="F14" s="869"/>
      <c r="G14" s="869"/>
      <c r="H14" s="869"/>
      <c r="I14" s="869"/>
      <c r="J14" s="54"/>
      <c r="K14" s="54"/>
      <c r="L14" s="54"/>
      <c r="M14" s="54"/>
      <c r="N14" s="55"/>
      <c r="O14" s="55"/>
      <c r="P14" s="55"/>
      <c r="Q14" s="55"/>
      <c r="R14" s="55"/>
    </row>
    <row r="15" spans="1:18">
      <c r="A15" s="869"/>
      <c r="B15" s="869"/>
      <c r="C15" s="869"/>
      <c r="D15" s="869"/>
      <c r="E15" s="869"/>
      <c r="F15" s="869"/>
      <c r="G15" s="869"/>
      <c r="H15" s="869"/>
      <c r="I15" s="869"/>
      <c r="J15" s="54"/>
      <c r="K15" s="54"/>
      <c r="L15" s="54"/>
      <c r="M15" s="54"/>
      <c r="N15" s="55"/>
      <c r="O15" s="55"/>
      <c r="P15" s="55"/>
      <c r="Q15" s="55"/>
      <c r="R15" s="55"/>
    </row>
    <row r="16" spans="1:18">
      <c r="A16" s="869"/>
      <c r="B16" s="869"/>
      <c r="C16" s="869"/>
      <c r="D16" s="869"/>
      <c r="E16" s="869"/>
      <c r="F16" s="869"/>
      <c r="G16" s="869"/>
      <c r="H16" s="869"/>
      <c r="I16" s="869"/>
      <c r="J16" s="54"/>
      <c r="K16" s="54"/>
      <c r="L16" s="54"/>
      <c r="M16" s="54"/>
      <c r="N16" s="55"/>
      <c r="O16" s="55"/>
      <c r="P16" s="55"/>
      <c r="Q16" s="55"/>
      <c r="R16" s="55"/>
    </row>
    <row r="17" spans="1:13" ht="16.5" customHeight="1">
      <c r="A17" s="869" t="s">
        <v>136</v>
      </c>
      <c r="B17" s="869"/>
      <c r="C17" s="869"/>
      <c r="D17" s="869"/>
      <c r="E17" s="869"/>
      <c r="F17" s="869"/>
      <c r="G17" s="869"/>
      <c r="H17" s="869"/>
      <c r="I17" s="869"/>
      <c r="J17" s="54"/>
      <c r="K17" s="54"/>
      <c r="L17" s="54"/>
      <c r="M17" s="54"/>
    </row>
    <row r="18" spans="1:13">
      <c r="A18" s="869"/>
      <c r="B18" s="869"/>
      <c r="C18" s="869"/>
      <c r="D18" s="869"/>
      <c r="E18" s="869"/>
      <c r="F18" s="869"/>
      <c r="G18" s="869"/>
      <c r="H18" s="869"/>
      <c r="I18" s="869"/>
      <c r="J18" s="54"/>
      <c r="K18" s="54"/>
      <c r="L18" s="54"/>
      <c r="M18" s="54"/>
    </row>
    <row r="19" spans="1:13">
      <c r="A19" s="869"/>
      <c r="B19" s="869"/>
      <c r="C19" s="869"/>
      <c r="D19" s="869"/>
      <c r="E19" s="869"/>
      <c r="F19" s="869"/>
      <c r="G19" s="869"/>
      <c r="H19" s="869"/>
      <c r="I19" s="869"/>
      <c r="J19" s="54"/>
      <c r="K19" s="54"/>
      <c r="L19" s="54"/>
      <c r="M19" s="54"/>
    </row>
    <row r="20" spans="1:13" ht="5.25" customHeight="1">
      <c r="A20" s="869"/>
      <c r="B20" s="869"/>
      <c r="C20" s="869"/>
      <c r="D20" s="869"/>
      <c r="E20" s="869"/>
      <c r="F20" s="869"/>
      <c r="G20" s="869"/>
      <c r="H20" s="869"/>
      <c r="I20" s="869"/>
      <c r="J20" s="54"/>
      <c r="K20" s="54"/>
      <c r="L20" s="54"/>
      <c r="M20" s="54"/>
    </row>
    <row r="21" spans="1:13" ht="33" customHeight="1">
      <c r="A21" s="869"/>
      <c r="B21" s="869"/>
      <c r="C21" s="869"/>
      <c r="D21" s="869"/>
      <c r="E21" s="869"/>
      <c r="F21" s="869"/>
      <c r="G21" s="869"/>
      <c r="H21" s="869"/>
      <c r="I21" s="869"/>
      <c r="J21" s="54"/>
      <c r="K21" s="54"/>
      <c r="L21" s="54"/>
      <c r="M21" s="54"/>
    </row>
    <row r="22" spans="1:13" ht="18">
      <c r="A22" s="21"/>
      <c r="B22" s="876" t="s">
        <v>138</v>
      </c>
      <c r="C22" s="876"/>
      <c r="D22" s="876"/>
      <c r="E22" s="876"/>
      <c r="F22" s="876"/>
      <c r="G22" s="338"/>
      <c r="H22" s="871" t="s">
        <v>157</v>
      </c>
      <c r="I22" s="871"/>
    </row>
    <row r="23" spans="1:13" ht="18">
      <c r="A23" s="21"/>
      <c r="B23" s="271"/>
      <c r="C23" s="271"/>
      <c r="D23" s="271"/>
      <c r="E23" s="271"/>
      <c r="F23" s="271"/>
      <c r="G23" s="338"/>
      <c r="H23" s="340">
        <f>CEA!E41</f>
        <v>3928960</v>
      </c>
      <c r="I23" s="339"/>
    </row>
    <row r="24" spans="1:13" ht="18">
      <c r="A24" s="21"/>
      <c r="B24" s="21"/>
      <c r="C24" s="872"/>
      <c r="D24" s="872"/>
      <c r="E24" s="872"/>
      <c r="F24" s="872"/>
      <c r="G24" s="338"/>
      <c r="H24" s="139"/>
      <c r="I24" s="139"/>
    </row>
    <row r="25" spans="1:13" ht="18">
      <c r="A25" s="21"/>
      <c r="B25" s="876" t="s">
        <v>139</v>
      </c>
      <c r="C25" s="876"/>
      <c r="D25" s="876"/>
      <c r="E25" s="876"/>
      <c r="F25" s="876"/>
      <c r="G25" s="338"/>
      <c r="H25" s="871">
        <v>0</v>
      </c>
      <c r="I25" s="871"/>
    </row>
    <row r="26" spans="1:13" ht="18">
      <c r="A26" s="21"/>
      <c r="B26" s="271"/>
      <c r="C26" s="271"/>
      <c r="D26" s="271"/>
      <c r="E26" s="271"/>
      <c r="F26" s="271"/>
      <c r="G26" s="338"/>
      <c r="H26" s="873">
        <f>'Sales Grid'!F43</f>
        <v>3934000</v>
      </c>
      <c r="I26" s="873"/>
    </row>
    <row r="27" spans="1:13" ht="14.4">
      <c r="A27" s="21"/>
      <c r="B27" s="21"/>
      <c r="C27" s="21"/>
      <c r="D27" s="21"/>
      <c r="E27" s="139"/>
      <c r="F27" s="21"/>
      <c r="G27" s="21"/>
      <c r="H27" s="21"/>
      <c r="I27" s="21"/>
    </row>
    <row r="28" spans="1:13" ht="18">
      <c r="A28" s="874" t="s">
        <v>50</v>
      </c>
      <c r="B28" s="875"/>
      <c r="C28" s="21"/>
      <c r="D28" s="21"/>
      <c r="E28" s="21"/>
      <c r="F28" s="21"/>
      <c r="G28" s="21"/>
      <c r="H28" s="21"/>
      <c r="I28" s="21"/>
    </row>
    <row r="29" spans="1:13" ht="16.5" customHeight="1">
      <c r="A29" s="869" t="str">
        <f>CONCATENATE("The Assessor’s Office has given careful consideration to the approaches to the value that have been used in this appraisal and has determined a reasonable and reliable indication of fair market value for the subject property.")&amp;CONCATENATE(" Therefore, the Assessor’s Office recommends no reduction for the ", TEXT(INPUT!D3, "####/####")," tax year.")</f>
        <v>The Assessor’s Office has given careful consideration to the approaches to the value that have been used in this appraisal and has determined a reasonable and reliable indication of fair market value for the subject property. Therefore, the Assessor’s Office recommends no reduction for the 2026/2027 tax year.</v>
      </c>
      <c r="B29" s="869"/>
      <c r="C29" s="869"/>
      <c r="D29" s="869"/>
      <c r="E29" s="869"/>
      <c r="F29" s="869"/>
      <c r="G29" s="869"/>
      <c r="H29" s="869"/>
      <c r="I29" s="869"/>
      <c r="J29" s="54"/>
      <c r="K29" s="54"/>
      <c r="L29" s="54"/>
      <c r="M29" s="54"/>
    </row>
    <row r="30" spans="1:13">
      <c r="A30" s="869"/>
      <c r="B30" s="869"/>
      <c r="C30" s="869"/>
      <c r="D30" s="869"/>
      <c r="E30" s="869"/>
      <c r="F30" s="869"/>
      <c r="G30" s="869"/>
      <c r="H30" s="869"/>
      <c r="I30" s="869"/>
      <c r="J30" s="54"/>
      <c r="K30" s="54"/>
      <c r="L30" s="54"/>
      <c r="M30" s="54"/>
    </row>
    <row r="31" spans="1:13" ht="7.5" customHeight="1">
      <c r="A31" s="869"/>
      <c r="B31" s="869"/>
      <c r="C31" s="869"/>
      <c r="D31" s="869"/>
      <c r="E31" s="869"/>
      <c r="F31" s="869"/>
      <c r="G31" s="869"/>
      <c r="H31" s="869"/>
      <c r="I31" s="869"/>
      <c r="J31" s="54"/>
      <c r="K31" s="54"/>
      <c r="L31" s="54"/>
      <c r="M31" s="54"/>
    </row>
    <row r="32" spans="1:13" ht="85.5" customHeight="1">
      <c r="A32" s="870" t="str">
        <f>CONCATENATE("CONCLUDED VALUE = ",TEXT(INPUT!B26,"$#,###"))</f>
        <v>CONCLUDED VALUE = $3,928,960</v>
      </c>
      <c r="B32" s="870"/>
      <c r="C32" s="870"/>
      <c r="D32" s="870"/>
      <c r="E32" s="870"/>
      <c r="F32" s="870"/>
      <c r="G32" s="870"/>
      <c r="H32" s="870"/>
      <c r="I32" s="870"/>
      <c r="J32" s="53"/>
      <c r="K32" s="53"/>
      <c r="L32" s="53"/>
      <c r="M32" s="53"/>
    </row>
    <row r="33" spans="1:14" ht="14.4">
      <c r="A33" s="21"/>
      <c r="B33" s="21"/>
      <c r="C33" s="21"/>
      <c r="D33" s="21"/>
      <c r="E33" s="21"/>
      <c r="F33" s="21"/>
      <c r="G33" s="21"/>
      <c r="H33" s="21"/>
      <c r="I33" s="21"/>
    </row>
    <row r="34" spans="1:14" ht="15" customHeight="1">
      <c r="A34" s="52" t="str">
        <f>CONCATENATE("Submitted by: ",TEXT(INPUT!B6,""), " - Appraiser")</f>
        <v>Submitted by: Kyle Edmonds - Appraiser</v>
      </c>
      <c r="B34" s="231"/>
      <c r="C34" s="231"/>
      <c r="D34" s="231"/>
      <c r="E34" s="232"/>
      <c r="F34" s="232"/>
      <c r="G34" s="21"/>
      <c r="H34" s="21"/>
      <c r="I34" s="21"/>
      <c r="J34" s="139"/>
      <c r="K34" s="139"/>
      <c r="L34" s="139"/>
      <c r="M34" s="139"/>
      <c r="N34" s="139"/>
    </row>
    <row r="35" spans="1:14" ht="12.75" customHeight="1">
      <c r="A35" s="52" t="s">
        <v>158</v>
      </c>
      <c r="B35" s="231"/>
      <c r="C35" s="231"/>
      <c r="D35" s="231"/>
      <c r="E35" s="232"/>
      <c r="F35" s="21"/>
      <c r="G35" s="21"/>
      <c r="H35" s="21"/>
      <c r="I35" s="21"/>
      <c r="J35" s="139"/>
      <c r="K35" s="139"/>
      <c r="L35" s="139"/>
      <c r="M35" s="139"/>
      <c r="N35" s="139"/>
    </row>
    <row r="36" spans="1:14" ht="14.4">
      <c r="A36"/>
      <c r="B36"/>
      <c r="C36"/>
      <c r="D36"/>
      <c r="E36"/>
      <c r="F36"/>
      <c r="G36"/>
      <c r="H36"/>
      <c r="I36"/>
    </row>
    <row r="37" spans="1:14" ht="14.4">
      <c r="A37"/>
      <c r="B37"/>
      <c r="C37"/>
      <c r="D37"/>
      <c r="E37"/>
      <c r="F37"/>
      <c r="G37"/>
      <c r="H37"/>
      <c r="I37"/>
    </row>
    <row r="38" spans="1:14" ht="14.4">
      <c r="A38"/>
      <c r="B38"/>
      <c r="C38"/>
      <c r="D38"/>
      <c r="E38"/>
      <c r="F38"/>
      <c r="G38"/>
      <c r="H38"/>
      <c r="I38"/>
    </row>
    <row r="39" spans="1:14" ht="14.4">
      <c r="A39"/>
      <c r="B39"/>
      <c r="C39"/>
      <c r="D39"/>
      <c r="E39"/>
      <c r="F39"/>
      <c r="G39"/>
      <c r="H39"/>
      <c r="I39"/>
    </row>
    <row r="40" spans="1:14" ht="14.4">
      <c r="A40"/>
      <c r="B40"/>
      <c r="C40"/>
      <c r="D40"/>
      <c r="E40"/>
      <c r="F40"/>
      <c r="G40"/>
      <c r="H40"/>
      <c r="I40"/>
    </row>
    <row r="41" spans="1:14" ht="14.4">
      <c r="A41"/>
      <c r="B41"/>
      <c r="C41"/>
      <c r="D41"/>
      <c r="E41"/>
      <c r="F41"/>
      <c r="G41"/>
      <c r="H41"/>
      <c r="I41"/>
    </row>
    <row r="42" spans="1:14" ht="14.4">
      <c r="A42"/>
      <c r="B42"/>
      <c r="C42"/>
      <c r="D42"/>
      <c r="E42"/>
      <c r="F42"/>
      <c r="G42"/>
      <c r="H42"/>
      <c r="I42"/>
    </row>
    <row r="43" spans="1:14" ht="14.4">
      <c r="A43"/>
      <c r="B43"/>
      <c r="C43"/>
      <c r="D43"/>
      <c r="E43"/>
      <c r="F43" s="1"/>
      <c r="G43"/>
      <c r="H43"/>
      <c r="I43"/>
    </row>
    <row r="44" spans="1:14" ht="14.4">
      <c r="A44"/>
      <c r="B44"/>
      <c r="C44"/>
      <c r="D44"/>
      <c r="E44"/>
      <c r="F44"/>
      <c r="G44"/>
      <c r="H44"/>
      <c r="I44"/>
    </row>
    <row r="45" spans="1:14" ht="14.4">
      <c r="A45"/>
      <c r="B45"/>
      <c r="C45"/>
      <c r="D45"/>
      <c r="E45"/>
      <c r="F45"/>
      <c r="G45"/>
      <c r="H45"/>
      <c r="I45"/>
    </row>
    <row r="46" spans="1:14" ht="14.4">
      <c r="A46"/>
      <c r="B46"/>
      <c r="C46"/>
      <c r="D46"/>
      <c r="E46"/>
      <c r="F46"/>
      <c r="G46"/>
      <c r="H46"/>
      <c r="I46"/>
    </row>
    <row r="47" spans="1:14" ht="14.4">
      <c r="A47"/>
      <c r="B47"/>
      <c r="C47"/>
      <c r="D47"/>
      <c r="E47"/>
      <c r="F47"/>
      <c r="G47"/>
      <c r="H47"/>
      <c r="I47"/>
    </row>
    <row r="48" spans="1:14" ht="14.4">
      <c r="A48"/>
      <c r="B48"/>
      <c r="C48"/>
      <c r="D48"/>
      <c r="E48"/>
      <c r="F48"/>
      <c r="G48"/>
      <c r="H48"/>
      <c r="I48"/>
    </row>
    <row r="49" spans="1:9" ht="14.4">
      <c r="A49"/>
      <c r="B49"/>
      <c r="C49"/>
      <c r="D49"/>
      <c r="E49"/>
      <c r="F49"/>
      <c r="G49"/>
      <c r="H49"/>
      <c r="I49"/>
    </row>
    <row r="50" spans="1:9" ht="14.4">
      <c r="A50"/>
      <c r="B50"/>
      <c r="C50"/>
      <c r="D50"/>
      <c r="E50"/>
      <c r="F50"/>
      <c r="G50"/>
      <c r="H50"/>
      <c r="I50"/>
    </row>
  </sheetData>
  <sheetProtection formatColumns="0" formatRows="0" insertColumns="0" insertRows="0"/>
  <mergeCells count="15">
    <mergeCell ref="A29:I31"/>
    <mergeCell ref="A32:I32"/>
    <mergeCell ref="A2:I2"/>
    <mergeCell ref="A11:I12"/>
    <mergeCell ref="H22:I22"/>
    <mergeCell ref="C24:F24"/>
    <mergeCell ref="H26:I26"/>
    <mergeCell ref="A28:B28"/>
    <mergeCell ref="B22:F22"/>
    <mergeCell ref="B25:F25"/>
    <mergeCell ref="H25:I25"/>
    <mergeCell ref="A5:I7"/>
    <mergeCell ref="A9:I10"/>
    <mergeCell ref="A14:I16"/>
    <mergeCell ref="A17:I21"/>
  </mergeCells>
  <printOptions horizontalCentered="1"/>
  <pageMargins left="0.7" right="0.7" top="0.75" bottom="0.75" header="0.3" footer="0.3"/>
  <pageSetup scale="86" orientation="portrait" r:id="rId1"/>
  <headerFooter scaleWithDoc="0">
    <oddFooter>Page &amp;P of &amp;N</oddFooter>
  </headerFooter>
  <rowBreaks count="1" manualBreakCount="1">
    <brk id="35"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55411-9A8B-44B2-8AEC-31AB806042EB}">
  <sheetPr codeName="Sheet52">
    <tabColor rgb="FF7030A0"/>
  </sheetPr>
  <dimension ref="A1:R49"/>
  <sheetViews>
    <sheetView showZeros="0" view="pageLayout" zoomScaleNormal="115" zoomScaleSheetLayoutView="145" workbookViewId="0"/>
  </sheetViews>
  <sheetFormatPr defaultColWidth="9.109375" defaultRowHeight="13.8"/>
  <cols>
    <col min="1" max="5" width="9.109375" style="24"/>
    <col min="6" max="6" width="14.6640625" style="24" customWidth="1"/>
    <col min="7" max="7" width="9.109375" style="24"/>
    <col min="8" max="8" width="15.6640625" style="24" bestFit="1" customWidth="1"/>
    <col min="9" max="9" width="18.44140625" style="24" customWidth="1"/>
    <col min="10" max="12" width="9.109375" style="24"/>
    <col min="13" max="13" width="8.88671875" style="24" customWidth="1"/>
    <col min="14" max="16384" width="9.109375" style="24"/>
  </cols>
  <sheetData>
    <row r="1" spans="1:18" ht="14.4">
      <c r="A1" s="271">
        <v>0</v>
      </c>
      <c r="B1" s="21"/>
      <c r="C1" s="21"/>
      <c r="D1" s="21"/>
      <c r="E1" s="21"/>
      <c r="F1" s="21"/>
      <c r="G1" s="21"/>
      <c r="H1" s="21"/>
      <c r="I1" s="21"/>
    </row>
    <row r="2" spans="1:18" s="56" customFormat="1" ht="20.85" customHeight="1">
      <c r="A2" s="870" t="s">
        <v>54</v>
      </c>
      <c r="B2" s="870"/>
      <c r="C2" s="870"/>
      <c r="D2" s="870"/>
      <c r="E2" s="870"/>
      <c r="F2" s="870"/>
      <c r="G2" s="870"/>
      <c r="H2" s="870"/>
      <c r="I2" s="870"/>
      <c r="J2" s="57"/>
      <c r="K2" s="57"/>
      <c r="L2" s="57"/>
      <c r="M2" s="57"/>
    </row>
    <row r="3" spans="1:18" ht="14.4">
      <c r="A3" s="21"/>
      <c r="B3" s="21"/>
      <c r="C3" s="21"/>
      <c r="D3" s="21"/>
      <c r="E3" s="21"/>
      <c r="F3" s="21"/>
      <c r="G3" s="21"/>
      <c r="H3" s="21"/>
      <c r="I3" s="21"/>
    </row>
    <row r="4" spans="1:18" ht="18">
      <c r="A4" s="336" t="s">
        <v>53</v>
      </c>
      <c r="B4" s="21"/>
      <c r="C4" s="21"/>
      <c r="D4" s="21"/>
      <c r="E4" s="21"/>
      <c r="F4" s="21"/>
      <c r="G4" s="21"/>
      <c r="H4" s="21"/>
      <c r="I4" s="21"/>
    </row>
    <row r="5" spans="1:18" ht="18">
      <c r="A5" s="327"/>
      <c r="B5" s="21"/>
      <c r="C5" s="21"/>
      <c r="D5" s="21"/>
      <c r="E5" s="21"/>
      <c r="F5" s="21"/>
      <c r="G5" s="21"/>
      <c r="H5" s="21"/>
      <c r="I5" s="21"/>
    </row>
    <row r="6" spans="1:18" ht="16.5" customHeight="1">
      <c r="A6" s="877" t="str">
        <f>CONCATENATE("This is a ", IF(INPUT!M2=TRUE,"Proposition 8",""),IF(INPUT!M3=TRUE,"base year value",""), " appeal contesting the roll value for the ", TEXT(INPUT!D3,""), " tax assessment year. The effective date of this appraisal is ", TEXT(INPUT!B5,"mmmm, dd, yyyy"), ". As required by Section 1 of Article XIII of the California Constitution, Revenue and Taxation sections 110 and 110.1, and Property Tax Rule 2, the interest being appraised is fee simple, unencumbered.")</f>
        <v>This is a  appeal contesting the roll value for the 2026/2027 tax assessment year. The effective date of this appraisal is January, 09, 2026. As required by Section 1 of Article XIII of the California Constitution, Revenue and Taxation sections 110 and 110.1, and Property Tax Rule 2, the interest being appraised is fee simple, unencumbered.</v>
      </c>
      <c r="B6" s="877"/>
      <c r="C6" s="877"/>
      <c r="D6" s="877"/>
      <c r="E6" s="877"/>
      <c r="F6" s="877"/>
      <c r="G6" s="877"/>
      <c r="H6" s="877"/>
      <c r="I6" s="877"/>
      <c r="J6" s="54"/>
      <c r="K6" s="54"/>
      <c r="L6" s="54"/>
      <c r="M6" s="54"/>
    </row>
    <row r="7" spans="1:18">
      <c r="A7" s="877"/>
      <c r="B7" s="877"/>
      <c r="C7" s="877"/>
      <c r="D7" s="877"/>
      <c r="E7" s="877"/>
      <c r="F7" s="877"/>
      <c r="G7" s="877"/>
      <c r="H7" s="877"/>
      <c r="I7" s="877"/>
      <c r="J7" s="54"/>
      <c r="K7" s="54"/>
      <c r="L7" s="54"/>
      <c r="M7" s="54"/>
    </row>
    <row r="8" spans="1:18">
      <c r="A8" s="877"/>
      <c r="B8" s="877"/>
      <c r="C8" s="877"/>
      <c r="D8" s="877"/>
      <c r="E8" s="877"/>
      <c r="F8" s="877"/>
      <c r="G8" s="877"/>
      <c r="H8" s="877"/>
      <c r="I8" s="877"/>
      <c r="J8" s="54"/>
      <c r="K8" s="54"/>
      <c r="L8" s="54"/>
      <c r="M8" s="54"/>
    </row>
    <row r="9" spans="1:18" ht="18">
      <c r="A9" s="336" t="s">
        <v>52</v>
      </c>
      <c r="B9" s="21"/>
      <c r="C9" s="21"/>
      <c r="D9" s="21"/>
      <c r="E9" s="21"/>
      <c r="F9" s="21"/>
      <c r="G9" s="21"/>
      <c r="H9" s="21"/>
      <c r="I9" s="21"/>
      <c r="J9" s="55"/>
      <c r="K9" s="55"/>
      <c r="L9" s="55"/>
      <c r="M9" s="55"/>
      <c r="N9" s="55"/>
      <c r="O9" s="55"/>
      <c r="P9" s="55"/>
      <c r="Q9" s="55"/>
      <c r="R9" s="55"/>
    </row>
    <row r="10" spans="1:18" ht="18">
      <c r="A10" s="327"/>
      <c r="B10" s="21"/>
      <c r="C10" s="21"/>
      <c r="D10" s="21"/>
      <c r="E10" s="21"/>
      <c r="F10" s="21"/>
      <c r="G10" s="21"/>
      <c r="H10" s="21"/>
      <c r="I10" s="21"/>
      <c r="J10" s="55"/>
      <c r="K10" s="55"/>
      <c r="L10" s="55"/>
      <c r="M10" s="55"/>
      <c r="N10" s="55"/>
      <c r="O10" s="55"/>
      <c r="P10" s="55"/>
      <c r="Q10" s="55"/>
      <c r="R10" s="55"/>
    </row>
    <row r="11" spans="1:18" ht="16.5" customHeight="1">
      <c r="A11" s="869" t="str">
        <f>_xlfn.CONCAT(
    "The subject property is ",
    IF(INPUT!B38=1,
       TEXT(INPUT!B38,"0.00"),
       TEXT(INPUT!B38,"0.##")
    ),
    IF(INPUT!B38=1," acre of "," acres of "),
    LOWER(INPUT!B33),
    " ",
    IF(
        INPUT!B31&lt;&gt;"",
        "located at " &amp; PROPER(INPUT!B31),
        IF(
            INPUT!B43&lt;&gt;"",
            "located near the intersection of " &amp; PROPER(INPUT!B43),
            "located in " &amp; PROPER(INPUT!B32)
        )
    ),
    " in ",
    PROPER(INPUT!B32),
    ", CA.",
    " The subject is comprised of ",
    IF(
        INPUT!B42=1,
        "a single parcel",
        INPUT!B42 &amp; " parcels"
    ),
    " and has ",
    INPUT!B39,
    " zoning."
)</f>
        <v>The subject property is 0.68 acres of light industrial located at 1215 Graphite Dr in Corona, CA. The subject is comprised of a single parcel and has M4 zoning.</v>
      </c>
      <c r="B11" s="869"/>
      <c r="C11" s="869"/>
      <c r="D11" s="869"/>
      <c r="E11" s="869"/>
      <c r="F11" s="869"/>
      <c r="G11" s="869"/>
      <c r="H11" s="869"/>
      <c r="I11" s="869"/>
      <c r="J11" s="54"/>
      <c r="K11" s="54"/>
      <c r="L11" s="54"/>
      <c r="M11" s="54"/>
      <c r="N11" s="55"/>
      <c r="O11" s="55"/>
      <c r="P11" s="55"/>
      <c r="Q11" s="55"/>
      <c r="R11" s="55"/>
    </row>
    <row r="12" spans="1:18">
      <c r="A12" s="869"/>
      <c r="B12" s="869"/>
      <c r="C12" s="869"/>
      <c r="D12" s="869"/>
      <c r="E12" s="869"/>
      <c r="F12" s="869"/>
      <c r="G12" s="869"/>
      <c r="H12" s="869"/>
      <c r="I12" s="869"/>
      <c r="J12" s="54"/>
      <c r="K12" s="54"/>
      <c r="L12" s="54"/>
      <c r="M12" s="54"/>
      <c r="N12" s="55"/>
      <c r="O12" s="55"/>
      <c r="P12" s="55"/>
      <c r="Q12" s="55"/>
      <c r="R12" s="55"/>
    </row>
    <row r="13" spans="1:18" ht="18">
      <c r="A13" s="336" t="s">
        <v>51</v>
      </c>
      <c r="B13" s="21"/>
      <c r="C13" s="21"/>
      <c r="D13" s="21"/>
      <c r="E13" s="21"/>
      <c r="F13" s="21"/>
      <c r="G13" s="21"/>
      <c r="H13" s="21"/>
      <c r="I13" s="21"/>
      <c r="J13" s="55"/>
      <c r="K13" s="55"/>
      <c r="L13" s="55"/>
      <c r="M13" s="55"/>
      <c r="N13" s="55"/>
      <c r="O13" s="55"/>
      <c r="P13" s="55"/>
      <c r="Q13" s="55"/>
      <c r="R13" s="55"/>
    </row>
    <row r="14" spans="1:18">
      <c r="A14" s="337"/>
      <c r="B14" s="337"/>
      <c r="C14" s="337"/>
      <c r="D14" s="337"/>
      <c r="E14" s="337"/>
      <c r="F14" s="337"/>
      <c r="G14" s="337"/>
      <c r="H14" s="337"/>
      <c r="I14" s="337"/>
      <c r="J14" s="54"/>
      <c r="K14" s="54"/>
      <c r="L14" s="54"/>
      <c r="M14" s="54"/>
      <c r="N14" s="55"/>
      <c r="O14" s="55"/>
      <c r="P14" s="55"/>
      <c r="Q14" s="55"/>
      <c r="R14" s="55"/>
    </row>
    <row r="15" spans="1:18" ht="16.5" customHeight="1">
      <c r="A15" s="869" t="s">
        <v>289</v>
      </c>
      <c r="B15" s="869"/>
      <c r="C15" s="869"/>
      <c r="D15" s="869"/>
      <c r="E15" s="869"/>
      <c r="F15" s="869"/>
      <c r="G15" s="869"/>
      <c r="H15" s="869"/>
      <c r="I15" s="869"/>
      <c r="J15" s="54"/>
      <c r="K15" s="54"/>
      <c r="L15" s="54"/>
      <c r="M15" s="54"/>
    </row>
    <row r="16" spans="1:18">
      <c r="A16" s="869"/>
      <c r="B16" s="869"/>
      <c r="C16" s="869"/>
      <c r="D16" s="869"/>
      <c r="E16" s="869"/>
      <c r="F16" s="869"/>
      <c r="G16" s="869"/>
      <c r="H16" s="869"/>
      <c r="I16" s="869"/>
      <c r="J16" s="54"/>
      <c r="K16" s="54"/>
      <c r="L16" s="54"/>
      <c r="M16" s="54"/>
    </row>
    <row r="17" spans="1:13">
      <c r="A17" s="869"/>
      <c r="B17" s="869"/>
      <c r="C17" s="869"/>
      <c r="D17" s="869"/>
      <c r="E17" s="869"/>
      <c r="F17" s="869"/>
      <c r="G17" s="869"/>
      <c r="H17" s="869"/>
      <c r="I17" s="869"/>
      <c r="J17" s="54"/>
      <c r="K17" s="54"/>
      <c r="L17" s="54"/>
      <c r="M17" s="54"/>
    </row>
    <row r="18" spans="1:13" ht="5.25" customHeight="1">
      <c r="A18" s="869"/>
      <c r="B18" s="869"/>
      <c r="C18" s="869"/>
      <c r="D18" s="869"/>
      <c r="E18" s="869"/>
      <c r="F18" s="869"/>
      <c r="G18" s="869"/>
      <c r="H18" s="869"/>
      <c r="I18" s="869"/>
      <c r="J18" s="54"/>
      <c r="K18" s="54"/>
      <c r="L18" s="54"/>
      <c r="M18" s="54"/>
    </row>
    <row r="19" spans="1:13" ht="33" customHeight="1">
      <c r="A19" s="869"/>
      <c r="B19" s="869"/>
      <c r="C19" s="869"/>
      <c r="D19" s="869"/>
      <c r="E19" s="869"/>
      <c r="F19" s="869"/>
      <c r="G19" s="869"/>
      <c r="H19" s="869"/>
      <c r="I19" s="869"/>
      <c r="J19" s="54"/>
      <c r="K19" s="54"/>
      <c r="L19" s="54"/>
      <c r="M19" s="54"/>
    </row>
    <row r="20" spans="1:13" ht="14.4">
      <c r="A20" s="21"/>
      <c r="B20" s="21"/>
      <c r="C20" s="21"/>
      <c r="D20" s="21"/>
      <c r="E20" s="139"/>
      <c r="F20" s="21"/>
      <c r="G20" s="21"/>
      <c r="H20" s="21"/>
      <c r="I20" s="21"/>
    </row>
    <row r="21" spans="1:13" ht="18">
      <c r="A21" s="874" t="s">
        <v>50</v>
      </c>
      <c r="B21" s="875"/>
      <c r="C21" s="21"/>
      <c r="D21" s="21"/>
      <c r="E21" s="21"/>
      <c r="F21" s="21"/>
      <c r="G21" s="21"/>
      <c r="H21" s="21"/>
      <c r="I21" s="21"/>
    </row>
    <row r="22" spans="1:13" ht="18">
      <c r="A22" s="341"/>
      <c r="B22" s="342"/>
      <c r="C22" s="21"/>
      <c r="D22" s="21"/>
      <c r="E22" s="21"/>
      <c r="F22" s="21"/>
      <c r="G22" s="21"/>
      <c r="H22" s="21"/>
      <c r="I22" s="21"/>
    </row>
    <row r="23" spans="1:13" ht="16.5" customHeight="1">
      <c r="A23" s="869" t="str">
        <f>_xlfn.CONCAT(
    "The Assessor's Office has determined that the Sales Comparison Approach to valuation yields an accurate estimate of market value for the subject property as of the given effective date.",
    IF(
        INPUT!B27 &lt; INPUT!B25,
        " Therefore, the Assessor's Office recommends the enrolled value be reduced to the value stated below.",
        " Therefore, the Assessor's Office does not recommend a value reduction."
    )
)</f>
        <v>The Assessor's Office has determined that the Sales Comparison Approach to valuation yields an accurate estimate of market value for the subject property as of the given effective date. Therefore, the Assessor's Office does not recommend a value reduction.</v>
      </c>
      <c r="B23" s="869"/>
      <c r="C23" s="869"/>
      <c r="D23" s="869"/>
      <c r="E23" s="869"/>
      <c r="F23" s="869"/>
      <c r="G23" s="869"/>
      <c r="H23" s="869"/>
      <c r="I23" s="869"/>
      <c r="J23" s="54"/>
      <c r="K23" s="54"/>
      <c r="L23" s="54"/>
      <c r="M23" s="54"/>
    </row>
    <row r="24" spans="1:13">
      <c r="A24" s="869"/>
      <c r="B24" s="869"/>
      <c r="C24" s="869"/>
      <c r="D24" s="869"/>
      <c r="E24" s="869"/>
      <c r="F24" s="869"/>
      <c r="G24" s="869"/>
      <c r="H24" s="869"/>
      <c r="I24" s="869"/>
      <c r="J24" s="54"/>
      <c r="K24" s="54"/>
      <c r="L24" s="54"/>
      <c r="M24" s="54"/>
    </row>
    <row r="25" spans="1:13" ht="7.5" customHeight="1">
      <c r="A25" s="869"/>
      <c r="B25" s="869"/>
      <c r="C25" s="869"/>
      <c r="D25" s="869"/>
      <c r="E25" s="869"/>
      <c r="F25" s="869"/>
      <c r="G25" s="869"/>
      <c r="H25" s="869"/>
      <c r="I25" s="869"/>
      <c r="J25" s="54"/>
      <c r="K25" s="54"/>
      <c r="L25" s="54"/>
      <c r="M25" s="54"/>
    </row>
    <row r="26" spans="1:13" ht="29.25" customHeight="1">
      <c r="A26" s="337"/>
      <c r="B26" s="337"/>
      <c r="C26" s="337"/>
      <c r="D26" s="337"/>
      <c r="E26" s="337"/>
      <c r="F26" s="337"/>
      <c r="G26" s="337"/>
      <c r="H26" s="337"/>
      <c r="I26" s="337"/>
      <c r="J26" s="54"/>
      <c r="K26" s="54"/>
      <c r="L26" s="54"/>
      <c r="M26" s="54"/>
    </row>
    <row r="27" spans="1:13" ht="29.25" customHeight="1">
      <c r="A27" s="337"/>
      <c r="B27" s="337"/>
      <c r="C27" s="337"/>
      <c r="D27" s="337"/>
      <c r="E27" s="337"/>
      <c r="F27" s="337"/>
      <c r="G27" s="337"/>
      <c r="H27" s="337"/>
      <c r="I27" s="337"/>
      <c r="J27" s="54"/>
      <c r="K27" s="54"/>
      <c r="L27" s="54"/>
      <c r="M27" s="54"/>
    </row>
    <row r="28" spans="1:13" ht="30" customHeight="1">
      <c r="A28" s="337"/>
      <c r="B28" s="337"/>
      <c r="C28" s="337"/>
      <c r="D28" s="337"/>
      <c r="E28" s="337"/>
      <c r="F28" s="337"/>
      <c r="G28" s="337"/>
      <c r="H28" s="337"/>
      <c r="I28" s="337"/>
      <c r="J28" s="54"/>
      <c r="K28" s="54"/>
      <c r="L28" s="54"/>
      <c r="M28" s="54"/>
    </row>
    <row r="29" spans="1:13" ht="26.25" customHeight="1">
      <c r="A29" s="870" t="str">
        <f>CONCATENATE("ROLL VALUE = ",TEXT(INPUT!B25,"$#,###"))</f>
        <v>ROLL VALUE = $</v>
      </c>
      <c r="B29" s="870"/>
      <c r="C29" s="870"/>
      <c r="D29" s="870"/>
      <c r="E29" s="870"/>
      <c r="F29" s="870"/>
      <c r="G29" s="870"/>
      <c r="H29" s="870"/>
      <c r="I29" s="870"/>
      <c r="J29" s="53"/>
      <c r="K29" s="53"/>
      <c r="L29" s="53"/>
      <c r="M29" s="53"/>
    </row>
    <row r="30" spans="1:13" ht="26.25" customHeight="1">
      <c r="A30" s="870" t="str">
        <f>CONCATENATE("APPLICANT'S OPINION OF VALUE (per application) = ", TEXT(INPUT!B26,"$#,###"))</f>
        <v>APPLICANT'S OPINION OF VALUE (per application) = $3,928,960</v>
      </c>
      <c r="B30" s="870"/>
      <c r="C30" s="870"/>
      <c r="D30" s="870"/>
      <c r="E30" s="870"/>
      <c r="F30" s="870"/>
      <c r="G30" s="870"/>
      <c r="H30" s="870"/>
      <c r="I30" s="870"/>
      <c r="J30" s="53"/>
      <c r="K30" s="53"/>
      <c r="L30" s="53"/>
      <c r="M30" s="53"/>
    </row>
    <row r="31" spans="1:13" ht="26.25" customHeight="1">
      <c r="A31" s="870" t="str">
        <f>CONCATENATE("ASSESSOR'S RECOMMENDED VALUE = ", TEXT(INPUT!B27,"$#,###"))</f>
        <v>ASSESSOR'S RECOMMENDED VALUE = $</v>
      </c>
      <c r="B31" s="870"/>
      <c r="C31" s="870"/>
      <c r="D31" s="870"/>
      <c r="E31" s="870"/>
      <c r="F31" s="870"/>
      <c r="G31" s="870"/>
      <c r="H31" s="870"/>
      <c r="I31" s="870"/>
      <c r="J31" s="53"/>
      <c r="K31" s="53"/>
      <c r="L31" s="53"/>
      <c r="M31" s="53"/>
    </row>
    <row r="32" spans="1:13" ht="14.4">
      <c r="A32" s="21"/>
      <c r="B32" s="21"/>
      <c r="C32" s="21"/>
      <c r="D32" s="21"/>
      <c r="E32" s="21"/>
      <c r="F32" s="21"/>
      <c r="G32" s="21"/>
      <c r="H32" s="21"/>
      <c r="I32" s="21"/>
    </row>
    <row r="33" spans="1:14" ht="15" customHeight="1">
      <c r="A33" s="52" t="str">
        <f>CONCATENATE("Submitted by: ",TEXT(INPUT!B6,""), " - Appraiser")</f>
        <v>Submitted by: Kyle Edmonds - Appraiser</v>
      </c>
      <c r="B33" s="231"/>
      <c r="C33" s="231"/>
      <c r="D33" s="231"/>
      <c r="E33" s="232"/>
      <c r="F33" s="232"/>
      <c r="G33" s="21"/>
      <c r="H33" s="21"/>
      <c r="I33" s="21"/>
      <c r="J33" s="139"/>
      <c r="K33" s="139"/>
      <c r="L33" s="139"/>
      <c r="M33" s="139"/>
      <c r="N33" s="139"/>
    </row>
    <row r="34" spans="1:14" ht="12.75" customHeight="1">
      <c r="A34" s="52" t="s">
        <v>158</v>
      </c>
      <c r="B34" s="231"/>
      <c r="C34" s="231"/>
      <c r="D34" s="231"/>
      <c r="E34" s="232"/>
      <c r="F34" s="21"/>
      <c r="G34" s="21"/>
      <c r="H34" s="21"/>
      <c r="I34" s="21"/>
      <c r="J34" s="139"/>
      <c r="K34" s="139"/>
      <c r="L34" s="139"/>
      <c r="M34" s="139"/>
      <c r="N34" s="139"/>
    </row>
    <row r="35" spans="1:14" ht="14.4">
      <c r="A35"/>
      <c r="B35"/>
      <c r="C35"/>
      <c r="D35"/>
      <c r="E35"/>
      <c r="F35"/>
      <c r="G35"/>
      <c r="H35"/>
      <c r="I35"/>
    </row>
    <row r="36" spans="1:14" ht="14.4">
      <c r="A36"/>
      <c r="B36"/>
      <c r="C36"/>
      <c r="D36"/>
      <c r="E36"/>
      <c r="F36"/>
      <c r="G36"/>
      <c r="H36"/>
      <c r="I36"/>
    </row>
    <row r="37" spans="1:14" ht="14.4">
      <c r="A37"/>
      <c r="B37"/>
      <c r="C37"/>
      <c r="D37"/>
      <c r="E37"/>
      <c r="F37"/>
      <c r="G37"/>
      <c r="H37"/>
      <c r="I37"/>
    </row>
    <row r="38" spans="1:14" ht="14.4">
      <c r="A38"/>
      <c r="B38"/>
      <c r="C38"/>
      <c r="D38"/>
      <c r="E38"/>
      <c r="F38"/>
      <c r="G38"/>
      <c r="H38"/>
      <c r="I38"/>
    </row>
    <row r="39" spans="1:14" ht="14.4">
      <c r="A39"/>
      <c r="B39"/>
      <c r="C39"/>
      <c r="D39"/>
      <c r="E39"/>
      <c r="F39"/>
      <c r="G39"/>
      <c r="H39"/>
      <c r="I39"/>
    </row>
    <row r="40" spans="1:14" ht="14.4">
      <c r="A40"/>
      <c r="B40"/>
      <c r="C40"/>
      <c r="D40"/>
      <c r="E40"/>
      <c r="F40"/>
      <c r="G40"/>
      <c r="H40"/>
      <c r="I40"/>
    </row>
    <row r="41" spans="1:14" ht="14.4">
      <c r="A41"/>
      <c r="B41"/>
      <c r="C41"/>
      <c r="D41"/>
      <c r="E41"/>
      <c r="F41"/>
      <c r="G41"/>
      <c r="H41"/>
      <c r="I41"/>
    </row>
    <row r="42" spans="1:14" ht="14.4">
      <c r="A42"/>
      <c r="B42"/>
      <c r="C42"/>
      <c r="D42"/>
      <c r="E42"/>
      <c r="F42" s="1"/>
      <c r="G42"/>
      <c r="H42"/>
      <c r="I42"/>
    </row>
    <row r="43" spans="1:14" ht="14.4">
      <c r="A43"/>
      <c r="B43"/>
      <c r="C43"/>
      <c r="D43"/>
      <c r="E43"/>
      <c r="F43"/>
      <c r="G43"/>
      <c r="H43"/>
      <c r="I43"/>
    </row>
    <row r="44" spans="1:14" ht="14.4">
      <c r="A44"/>
      <c r="B44"/>
      <c r="C44"/>
      <c r="D44"/>
      <c r="E44"/>
      <c r="F44"/>
      <c r="G44"/>
      <c r="H44"/>
      <c r="I44"/>
    </row>
    <row r="45" spans="1:14" ht="14.4">
      <c r="A45"/>
      <c r="B45"/>
      <c r="C45"/>
      <c r="D45"/>
      <c r="E45"/>
      <c r="F45"/>
      <c r="G45"/>
      <c r="H45"/>
      <c r="I45"/>
    </row>
    <row r="46" spans="1:14" ht="14.4">
      <c r="A46"/>
      <c r="B46"/>
      <c r="C46"/>
      <c r="D46"/>
      <c r="E46"/>
      <c r="F46"/>
      <c r="G46"/>
      <c r="H46"/>
      <c r="I46"/>
    </row>
    <row r="47" spans="1:14" ht="14.4">
      <c r="A47"/>
      <c r="B47"/>
      <c r="C47"/>
      <c r="D47"/>
      <c r="E47"/>
      <c r="F47"/>
      <c r="G47"/>
      <c r="H47"/>
      <c r="I47"/>
    </row>
    <row r="48" spans="1:14" ht="14.4">
      <c r="A48"/>
      <c r="B48"/>
      <c r="C48"/>
      <c r="D48"/>
      <c r="E48"/>
      <c r="F48"/>
      <c r="G48"/>
      <c r="H48"/>
      <c r="I48"/>
    </row>
    <row r="49" spans="1:9" ht="14.4">
      <c r="A49"/>
      <c r="B49"/>
      <c r="C49"/>
      <c r="D49"/>
      <c r="E49"/>
      <c r="F49"/>
      <c r="G49"/>
      <c r="H49"/>
      <c r="I49"/>
    </row>
  </sheetData>
  <sheetProtection formatColumns="0" formatRows="0" insertColumns="0" insertRows="0"/>
  <mergeCells count="9">
    <mergeCell ref="A29:I29"/>
    <mergeCell ref="A30:I30"/>
    <mergeCell ref="A31:I31"/>
    <mergeCell ref="A2:I2"/>
    <mergeCell ref="A6:I8"/>
    <mergeCell ref="A11:I12"/>
    <mergeCell ref="A15:I19"/>
    <mergeCell ref="A21:B21"/>
    <mergeCell ref="A23:I25"/>
  </mergeCells>
  <printOptions horizontalCentered="1"/>
  <pageMargins left="0.7" right="0.7" top="0.75" bottom="0.75" header="0.3" footer="0.3"/>
  <pageSetup scale="87" orientation="portrait" r:id="rId1"/>
  <headerFooter>
    <oddFooter>&amp;CPage &amp;P</oddFooter>
  </headerFooter>
  <rowBreaks count="1" manualBreakCount="1">
    <brk id="34" max="16383" man="1"/>
  </rowBreak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54134C-798B-4143-8394-0231A5E45326}">
  <sheetPr codeName="Sheet54">
    <tabColor rgb="FF7030A0"/>
  </sheetPr>
  <dimension ref="A1:O100"/>
  <sheetViews>
    <sheetView view="pageLayout" zoomScale="85" zoomScaleNormal="85" zoomScaleSheetLayoutView="100" zoomScalePageLayoutView="85" workbookViewId="0">
      <selection activeCell="D8" sqref="D8"/>
    </sheetView>
  </sheetViews>
  <sheetFormatPr defaultColWidth="12.5546875" defaultRowHeight="14.4"/>
  <cols>
    <col min="1" max="8" width="12.6640625" style="12" customWidth="1"/>
    <col min="9" max="16384" width="12.5546875" style="12"/>
  </cols>
  <sheetData>
    <row r="1" spans="1:15" ht="14.85" customHeight="1">
      <c r="A1" s="870" t="s">
        <v>52</v>
      </c>
      <c r="B1" s="870"/>
      <c r="C1" s="870"/>
      <c r="D1" s="870"/>
      <c r="E1" s="870"/>
      <c r="F1" s="870"/>
      <c r="G1" s="870"/>
      <c r="H1" s="870"/>
      <c r="I1" s="248"/>
      <c r="J1" s="248"/>
      <c r="K1" s="248"/>
      <c r="L1" s="248"/>
    </row>
    <row r="2" spans="1:15" ht="14.85" customHeight="1">
      <c r="A2" s="21"/>
      <c r="B2" s="314"/>
      <c r="C2" s="314"/>
      <c r="D2" s="314"/>
      <c r="E2" s="314"/>
      <c r="F2" s="314"/>
      <c r="G2" s="314"/>
      <c r="H2" s="314"/>
      <c r="I2" s="248"/>
      <c r="J2" s="248"/>
      <c r="K2" s="248"/>
      <c r="L2" s="248"/>
    </row>
    <row r="3" spans="1:15" ht="14.85" customHeight="1">
      <c r="A3" s="21"/>
      <c r="B3" s="21"/>
      <c r="C3" s="315"/>
      <c r="D3" s="315"/>
      <c r="E3" s="315"/>
      <c r="F3" s="315"/>
      <c r="G3" s="315"/>
      <c r="H3" s="315"/>
      <c r="I3" s="22"/>
    </row>
    <row r="4" spans="1:15" ht="14.85" customHeight="1">
      <c r="A4" s="315"/>
      <c r="B4" s="315"/>
      <c r="C4" s="315"/>
      <c r="D4" s="315"/>
      <c r="E4" s="315"/>
      <c r="F4" s="315"/>
      <c r="G4" s="315"/>
      <c r="H4" s="315"/>
      <c r="I4" s="22"/>
    </row>
    <row r="5" spans="1:15" ht="14.85" customHeight="1">
      <c r="A5" s="315"/>
      <c r="B5" s="21"/>
      <c r="C5" s="315"/>
      <c r="D5" s="315"/>
      <c r="E5" s="315"/>
      <c r="F5" s="315"/>
      <c r="G5" s="315"/>
      <c r="H5" s="315"/>
      <c r="I5" s="22"/>
    </row>
    <row r="6" spans="1:15" ht="14.85" customHeight="1">
      <c r="A6" s="315"/>
      <c r="B6" s="315"/>
      <c r="C6" s="315"/>
      <c r="D6" s="315"/>
      <c r="E6" s="315"/>
      <c r="F6" s="315"/>
      <c r="G6" s="315"/>
      <c r="H6" s="315"/>
      <c r="I6" s="22"/>
    </row>
    <row r="7" spans="1:15" ht="14.85" customHeight="1">
      <c r="A7" s="315"/>
      <c r="B7" s="315"/>
      <c r="C7" s="315"/>
      <c r="D7" s="315"/>
      <c r="E7" s="315"/>
      <c r="F7" s="315"/>
      <c r="G7" s="315"/>
      <c r="H7" s="315"/>
      <c r="I7" s="22"/>
      <c r="K7" s="7" t="s">
        <v>295</v>
      </c>
    </row>
    <row r="8" spans="1:15" ht="14.85" customHeight="1">
      <c r="A8" s="22"/>
      <c r="B8" s="251"/>
      <c r="C8" s="251"/>
      <c r="D8" s="251"/>
      <c r="E8" s="251"/>
      <c r="F8" s="251"/>
      <c r="G8" s="251"/>
      <c r="H8" s="251"/>
      <c r="I8" s="22"/>
    </row>
    <row r="9" spans="1:15" ht="14.85" customHeight="1">
      <c r="A9" s="22"/>
      <c r="B9" s="251"/>
      <c r="C9" s="251"/>
      <c r="D9" s="251"/>
      <c r="E9" s="251"/>
      <c r="F9" s="251"/>
      <c r="G9" s="251"/>
      <c r="H9" s="251"/>
      <c r="I9" s="22"/>
    </row>
    <row r="10" spans="1:15" ht="14.85" customHeight="1">
      <c r="A10" s="21"/>
      <c r="B10" s="22"/>
      <c r="C10" s="22"/>
      <c r="D10" s="22"/>
      <c r="E10" s="22"/>
      <c r="F10" s="22"/>
      <c r="G10" s="22"/>
      <c r="H10" s="22"/>
      <c r="I10" s="22"/>
    </row>
    <row r="11" spans="1:15" ht="14.85" customHeight="1">
      <c r="A11" s="22"/>
      <c r="B11" s="22"/>
      <c r="C11" s="22"/>
      <c r="D11" s="22"/>
      <c r="E11" s="22"/>
      <c r="F11" s="22"/>
      <c r="G11" s="22"/>
      <c r="H11" s="22"/>
      <c r="I11" s="22"/>
    </row>
    <row r="12" spans="1:15" ht="14.85" customHeight="1">
      <c r="A12" s="22"/>
      <c r="B12" s="22"/>
      <c r="C12" s="22"/>
      <c r="D12" s="22"/>
      <c r="E12" s="22"/>
      <c r="F12" s="22"/>
      <c r="G12" s="22"/>
      <c r="H12" s="22"/>
      <c r="I12" s="22"/>
    </row>
    <row r="13" spans="1:15" ht="14.85" customHeight="1">
      <c r="A13" s="22"/>
      <c r="B13" s="22"/>
      <c r="C13" s="22"/>
      <c r="D13" s="22"/>
      <c r="E13" s="22"/>
      <c r="F13" s="22"/>
      <c r="G13" s="22"/>
      <c r="H13" s="22"/>
      <c r="I13" s="22"/>
      <c r="M13" s="270"/>
      <c r="N13" s="270"/>
      <c r="O13" s="270"/>
    </row>
    <row r="14" spans="1:15" ht="14.85" customHeight="1">
      <c r="A14" s="22"/>
      <c r="B14" s="22"/>
      <c r="C14" s="22"/>
      <c r="D14" s="22"/>
      <c r="E14" s="22"/>
      <c r="F14" s="22"/>
      <c r="G14" s="22"/>
      <c r="H14" s="22"/>
      <c r="I14" s="22"/>
      <c r="M14" s="270"/>
      <c r="N14" s="270"/>
      <c r="O14" s="270"/>
    </row>
    <row r="15" spans="1:15" ht="14.85" customHeight="1">
      <c r="A15" s="22"/>
      <c r="B15" s="22"/>
      <c r="C15" s="22"/>
      <c r="D15" s="22"/>
      <c r="E15" s="22"/>
      <c r="F15" s="22"/>
      <c r="G15" s="22"/>
      <c r="H15" s="22"/>
      <c r="I15" s="22"/>
    </row>
    <row r="16" spans="1:15" ht="14.85" customHeight="1">
      <c r="A16" s="22"/>
      <c r="B16" s="22"/>
      <c r="C16" s="22"/>
      <c r="D16" s="22"/>
      <c r="E16" s="22"/>
      <c r="F16" s="22"/>
      <c r="G16" s="22"/>
      <c r="H16" s="22"/>
      <c r="I16" s="22"/>
      <c r="K16" s="309"/>
    </row>
    <row r="17" spans="1:9" ht="14.85" customHeight="1">
      <c r="A17" s="22"/>
      <c r="B17" s="22"/>
      <c r="C17" s="22"/>
      <c r="D17" s="22"/>
      <c r="E17" s="22"/>
      <c r="F17" s="22"/>
      <c r="G17" s="22"/>
      <c r="H17" s="22"/>
      <c r="I17" s="22"/>
    </row>
    <row r="18" spans="1:9" ht="14.85" customHeight="1">
      <c r="A18" s="22"/>
      <c r="B18" s="22"/>
      <c r="C18" s="22"/>
      <c r="D18" s="22"/>
      <c r="E18" s="22"/>
      <c r="F18" s="22"/>
      <c r="G18" s="22"/>
      <c r="H18" s="22"/>
    </row>
    <row r="19" spans="1:9" ht="14.85" customHeight="1">
      <c r="A19" s="22"/>
      <c r="B19" s="22"/>
      <c r="C19" s="22"/>
      <c r="D19" s="22"/>
      <c r="E19" s="22"/>
      <c r="F19" s="22"/>
      <c r="G19" s="22"/>
      <c r="H19" s="22"/>
    </row>
    <row r="20" spans="1:9" ht="14.85" customHeight="1">
      <c r="A20" s="22"/>
      <c r="B20" s="316"/>
      <c r="C20" s="316"/>
      <c r="D20" s="316"/>
      <c r="E20" s="316"/>
      <c r="F20" s="316"/>
      <c r="G20" s="316"/>
      <c r="H20" s="316"/>
    </row>
    <row r="21" spans="1:9" ht="14.85" customHeight="1">
      <c r="A21" s="316"/>
      <c r="B21" s="316"/>
      <c r="C21" s="316"/>
      <c r="D21" s="316"/>
      <c r="E21" s="316"/>
      <c r="F21" s="316"/>
      <c r="G21" s="316"/>
      <c r="H21" s="316"/>
    </row>
    <row r="22" spans="1:9" ht="14.85" customHeight="1">
      <c r="A22" s="316"/>
      <c r="B22" s="316"/>
      <c r="C22" s="316"/>
      <c r="D22" s="316"/>
      <c r="E22" s="316"/>
      <c r="F22" s="316"/>
      <c r="G22" s="316"/>
      <c r="H22" s="316"/>
    </row>
    <row r="23" spans="1:9" ht="14.85" customHeight="1">
      <c r="A23" s="316"/>
      <c r="B23" s="316"/>
      <c r="C23" s="316"/>
      <c r="D23" s="316"/>
      <c r="E23" s="316"/>
      <c r="F23" s="316"/>
      <c r="G23" s="316"/>
      <c r="H23" s="316"/>
    </row>
    <row r="24" spans="1:9" ht="14.85" customHeight="1">
      <c r="A24" s="316"/>
      <c r="B24" s="316"/>
      <c r="C24" s="316"/>
      <c r="D24" s="316"/>
      <c r="E24" s="316"/>
      <c r="F24" s="316"/>
      <c r="G24" s="316"/>
      <c r="H24" s="316"/>
    </row>
    <row r="25" spans="1:9" ht="14.85" customHeight="1">
      <c r="A25" s="246" t="s">
        <v>288</v>
      </c>
      <c r="B25" s="246" t="s">
        <v>293</v>
      </c>
      <c r="C25" s="246" t="str">
        <f>IF(INPUT!J2,"ROLL VALUE",IF(INPUT!J3,"SALE PRICE",IF(INPUT!J4,"TOTAL VALUE","ROLL VALUE")))</f>
        <v>SALE PRICE</v>
      </c>
      <c r="D25" s="249" t="str">
        <f>IF(INPUT!G3,"ACREAGE","SQ FT")</f>
        <v>SQ FT</v>
      </c>
      <c r="E25" s="246" t="str">
        <f>IF(INPUT!G3,"$/ACRE","$/SQ FT")</f>
        <v>$/SQ FT</v>
      </c>
      <c r="F25" s="878" t="s">
        <v>291</v>
      </c>
      <c r="G25" s="878"/>
      <c r="H25" s="878"/>
    </row>
    <row r="26" spans="1:9" ht="14.85" customHeight="1">
      <c r="A26" s="879">
        <f>INPUT!B30</f>
        <v>107350009</v>
      </c>
      <c r="B26" s="880">
        <f>INPUT!B5</f>
        <v>46031</v>
      </c>
      <c r="C26" s="883">
        <f>IF(INPUT!B24&lt;&gt;"",INPUT!B24,INPUT!B25)</f>
        <v>3928960</v>
      </c>
      <c r="D26" s="884">
        <f>IF(INPUT!G3,INPUT!B38,INPUT!B34)</f>
        <v>10490</v>
      </c>
      <c r="E26" s="885">
        <f>IFERROR(C26/D26, "—")</f>
        <v>374.54337464251671</v>
      </c>
      <c r="F26" s="879" t="str">
        <f>CONCATENATE(UPPER(TEXT(IF(LEN(TRIM(INPUT!B31))&gt;0, INPUT!B31, INPUT!B43), "@")), ", ", UPPER(TEXT(INPUT!B32,"@")), ", CA")</f>
        <v>1215 GRAPHITE DR, CORONA, CA</v>
      </c>
      <c r="G26" s="879"/>
      <c r="H26" s="879"/>
    </row>
    <row r="27" spans="1:9" ht="14.85" customHeight="1">
      <c r="A27" s="879"/>
      <c r="B27" s="881"/>
      <c r="C27" s="883"/>
      <c r="D27" s="884"/>
      <c r="E27" s="885"/>
      <c r="F27" s="879"/>
      <c r="G27" s="879"/>
      <c r="H27" s="879"/>
    </row>
    <row r="28" spans="1:9" ht="14.85" customHeight="1">
      <c r="A28" s="22"/>
      <c r="B28" s="343"/>
      <c r="C28" s="343"/>
      <c r="D28" s="343"/>
      <c r="E28" s="344"/>
      <c r="F28" s="22"/>
      <c r="G28" s="22"/>
      <c r="H28" s="255"/>
    </row>
    <row r="29" spans="1:9" ht="14.85" customHeight="1">
      <c r="A29" s="22"/>
      <c r="B29" s="22"/>
      <c r="C29" s="22"/>
      <c r="D29" s="22"/>
      <c r="E29" s="22"/>
      <c r="F29" s="22"/>
      <c r="G29" s="22"/>
      <c r="H29" s="22"/>
    </row>
    <row r="30" spans="1:9" ht="14.85" customHeight="1">
      <c r="A30" s="22"/>
      <c r="B30" s="251"/>
      <c r="C30" s="251"/>
      <c r="D30" s="251"/>
      <c r="E30" s="251"/>
      <c r="F30" s="251"/>
      <c r="G30" s="22"/>
      <c r="H30" s="22"/>
    </row>
    <row r="31" spans="1:9" ht="14.85" customHeight="1">
      <c r="A31" s="22"/>
      <c r="B31" s="251"/>
      <c r="C31" s="251"/>
      <c r="D31" s="251"/>
      <c r="E31" s="251"/>
      <c r="F31" s="251"/>
      <c r="G31" s="22"/>
      <c r="H31" s="22"/>
    </row>
    <row r="32" spans="1:9">
      <c r="A32" s="22"/>
      <c r="B32" s="22"/>
      <c r="C32" s="22"/>
      <c r="D32" s="22"/>
      <c r="E32" s="22"/>
      <c r="F32" s="22"/>
      <c r="G32" s="22"/>
      <c r="H32" s="22"/>
    </row>
    <row r="33" spans="1:13" ht="14.4" customHeight="1">
      <c r="A33" s="22"/>
      <c r="B33" s="22"/>
      <c r="C33" s="22"/>
      <c r="D33" s="22"/>
      <c r="E33" s="22"/>
      <c r="F33" s="22"/>
      <c r="G33" s="22"/>
      <c r="H33" s="22"/>
    </row>
    <row r="34" spans="1:13" ht="14.85" customHeight="1">
      <c r="A34" s="22"/>
      <c r="B34" s="22"/>
      <c r="C34" s="22"/>
      <c r="D34" s="22"/>
      <c r="E34" s="22"/>
      <c r="F34" s="22"/>
      <c r="G34" s="22"/>
      <c r="H34" s="22"/>
    </row>
    <row r="35" spans="1:13" ht="14.85" customHeight="1">
      <c r="A35" s="22"/>
      <c r="B35" s="22"/>
      <c r="C35" s="22"/>
      <c r="D35" s="22"/>
      <c r="E35" s="22"/>
      <c r="F35" s="22"/>
      <c r="G35" s="22"/>
      <c r="H35" s="22"/>
    </row>
    <row r="36" spans="1:13" ht="14.85" customHeight="1">
      <c r="A36" s="22"/>
      <c r="B36" s="22"/>
      <c r="C36" s="22"/>
      <c r="D36" s="22"/>
      <c r="E36" s="22"/>
      <c r="F36" s="22"/>
      <c r="G36" s="22"/>
      <c r="H36" s="22"/>
    </row>
    <row r="37" spans="1:13" ht="14.85" customHeight="1">
      <c r="A37" s="22"/>
      <c r="B37" s="22"/>
      <c r="C37" s="22"/>
      <c r="D37" s="22"/>
      <c r="E37" s="22"/>
      <c r="F37" s="22"/>
      <c r="G37" s="22"/>
      <c r="H37" s="22"/>
      <c r="I37" s="22"/>
      <c r="J37" s="22"/>
    </row>
    <row r="38" spans="1:13" ht="14.85" customHeight="1">
      <c r="A38" s="22"/>
      <c r="B38" s="22"/>
      <c r="C38" s="22"/>
      <c r="D38" s="22"/>
      <c r="E38" s="22"/>
      <c r="F38" s="22"/>
      <c r="G38" s="22"/>
      <c r="H38" s="22"/>
      <c r="I38" s="22"/>
      <c r="J38" s="22"/>
      <c r="K38" s="22"/>
      <c r="L38" s="22"/>
      <c r="M38" s="22"/>
    </row>
    <row r="39" spans="1:13" ht="14.85" customHeight="1">
      <c r="A39" s="22"/>
      <c r="B39" s="22"/>
      <c r="C39" s="22"/>
      <c r="D39" s="22"/>
      <c r="E39" s="22"/>
      <c r="F39" s="22"/>
      <c r="G39" s="22"/>
      <c r="H39" s="22"/>
    </row>
    <row r="40" spans="1:13" ht="14.85" customHeight="1">
      <c r="A40" s="22"/>
      <c r="B40" s="22"/>
      <c r="C40" s="22"/>
      <c r="D40" s="22"/>
      <c r="E40" s="22"/>
      <c r="F40" s="22"/>
      <c r="G40" s="22"/>
      <c r="H40" s="22"/>
    </row>
    <row r="41" spans="1:13" ht="14.85" customHeight="1">
      <c r="A41" s="22"/>
      <c r="B41" s="22"/>
      <c r="C41" s="22"/>
      <c r="D41" s="22"/>
      <c r="E41" s="22"/>
      <c r="F41" s="22"/>
      <c r="G41" s="22"/>
      <c r="H41" s="22"/>
    </row>
    <row r="42" spans="1:13" ht="14.85" customHeight="1">
      <c r="A42" s="22"/>
      <c r="B42" s="22"/>
      <c r="C42" s="22"/>
      <c r="D42" s="22"/>
      <c r="E42" s="22"/>
      <c r="F42" s="22"/>
      <c r="G42" s="22"/>
      <c r="H42" s="22"/>
    </row>
    <row r="43" spans="1:13" ht="14.85" customHeight="1">
      <c r="A43" s="22"/>
      <c r="B43" s="22"/>
      <c r="C43" s="22"/>
      <c r="D43" s="22"/>
      <c r="E43" s="22"/>
      <c r="F43" s="22"/>
      <c r="G43" s="22"/>
      <c r="H43" s="22"/>
    </row>
    <row r="44" spans="1:13" ht="14.85" customHeight="1">
      <c r="A44" s="22"/>
      <c r="B44" s="22"/>
      <c r="C44" s="22"/>
      <c r="D44" s="22"/>
      <c r="E44" s="22"/>
      <c r="F44" s="22"/>
      <c r="G44" s="22"/>
      <c r="H44" s="22"/>
    </row>
    <row r="45" spans="1:13" ht="14.85" customHeight="1">
      <c r="A45" s="22"/>
      <c r="B45" s="22"/>
      <c r="C45" s="22"/>
      <c r="D45" s="22"/>
      <c r="E45" s="22"/>
      <c r="F45" s="22"/>
      <c r="G45" s="22"/>
      <c r="H45" s="22"/>
    </row>
    <row r="46" spans="1:13" ht="14.85" customHeight="1">
      <c r="A46" s="22"/>
      <c r="B46" s="22"/>
      <c r="C46" s="22"/>
      <c r="D46" s="22"/>
      <c r="E46" s="22"/>
      <c r="F46" s="22"/>
      <c r="G46" s="22"/>
      <c r="H46" s="22"/>
    </row>
    <row r="47" spans="1:13" ht="14.85" customHeight="1">
      <c r="A47" s="22"/>
      <c r="B47" s="22"/>
      <c r="C47" s="22"/>
      <c r="D47" s="22"/>
      <c r="E47" s="22"/>
      <c r="F47" s="22"/>
      <c r="G47" s="22"/>
      <c r="H47" s="22"/>
    </row>
    <row r="48" spans="1:13" ht="14.85" customHeight="1">
      <c r="A48" s="22"/>
      <c r="B48" s="22"/>
      <c r="C48" s="22"/>
      <c r="D48" s="22"/>
      <c r="E48" s="22"/>
      <c r="F48" s="22"/>
      <c r="G48" s="22"/>
      <c r="H48" s="22"/>
    </row>
    <row r="49" spans="1:10" ht="14.85" customHeight="1">
      <c r="A49" s="22"/>
      <c r="B49" s="22"/>
      <c r="C49" s="22"/>
      <c r="D49" s="22"/>
      <c r="E49" s="22"/>
      <c r="F49" s="22"/>
      <c r="G49" s="22"/>
      <c r="H49" s="22"/>
    </row>
    <row r="50" spans="1:10" ht="14.85" customHeight="1">
      <c r="A50" s="22"/>
      <c r="B50" s="22"/>
      <c r="C50" s="22"/>
      <c r="D50" s="22"/>
      <c r="E50" s="22"/>
      <c r="F50" s="22"/>
      <c r="G50" s="22"/>
      <c r="H50" s="22"/>
    </row>
    <row r="51" spans="1:10" ht="14.85" customHeight="1">
      <c r="A51" s="870" t="s">
        <v>52</v>
      </c>
      <c r="B51" s="870"/>
      <c r="C51" s="870"/>
      <c r="D51" s="870"/>
      <c r="E51" s="870"/>
      <c r="F51" s="870"/>
      <c r="G51" s="870"/>
      <c r="H51" s="870"/>
    </row>
    <row r="52" spans="1:10" ht="14.85" customHeight="1">
      <c r="A52" s="22"/>
      <c r="B52" s="314"/>
      <c r="C52" s="314"/>
      <c r="D52" s="314"/>
      <c r="E52" s="314"/>
      <c r="F52" s="314"/>
      <c r="G52" s="314"/>
      <c r="H52" s="314"/>
      <c r="I52" s="248"/>
      <c r="J52" s="248"/>
    </row>
    <row r="53" spans="1:10" ht="14.85" customHeight="1">
      <c r="A53" s="22"/>
      <c r="B53" s="314"/>
      <c r="C53" s="314"/>
      <c r="D53" s="314"/>
      <c r="E53" s="314"/>
      <c r="F53" s="314"/>
      <c r="G53" s="314"/>
      <c r="H53" s="314"/>
      <c r="I53" s="248"/>
    </row>
    <row r="54" spans="1:10" ht="14.85" customHeight="1">
      <c r="A54" s="22"/>
      <c r="B54" s="22"/>
      <c r="C54" s="22"/>
      <c r="D54" s="22"/>
      <c r="E54" s="22"/>
      <c r="F54" s="22"/>
      <c r="G54" s="22"/>
      <c r="H54" s="22"/>
    </row>
    <row r="55" spans="1:10" ht="14.85" customHeight="1">
      <c r="A55" s="22"/>
      <c r="B55" s="22"/>
      <c r="C55" s="22"/>
      <c r="D55" s="22"/>
      <c r="E55" s="22"/>
      <c r="F55" s="22"/>
      <c r="G55" s="22"/>
      <c r="H55" s="22"/>
    </row>
    <row r="56" spans="1:10" ht="14.85" customHeight="1">
      <c r="A56" s="22"/>
      <c r="B56" s="22"/>
      <c r="C56" s="22"/>
      <c r="D56" s="22"/>
      <c r="E56" s="22"/>
      <c r="F56" s="22"/>
      <c r="G56" s="22"/>
      <c r="H56" s="22"/>
    </row>
    <row r="57" spans="1:10" ht="14.85" customHeight="1">
      <c r="A57" s="22"/>
      <c r="B57" s="22" t="s">
        <v>153</v>
      </c>
      <c r="C57" s="22"/>
      <c r="D57" s="22"/>
      <c r="E57" s="22"/>
      <c r="F57" s="22"/>
      <c r="G57" s="22"/>
      <c r="H57" s="22"/>
    </row>
    <row r="58" spans="1:10" ht="14.85" customHeight="1">
      <c r="A58" s="22"/>
      <c r="B58" s="22"/>
      <c r="C58" s="22"/>
      <c r="D58" s="22"/>
      <c r="E58" s="22"/>
      <c r="F58" s="22"/>
      <c r="G58" s="22"/>
      <c r="H58" s="22"/>
    </row>
    <row r="59" spans="1:10" ht="14.85" customHeight="1">
      <c r="A59" s="22"/>
      <c r="B59" s="22"/>
      <c r="C59" s="22"/>
      <c r="D59" s="22"/>
      <c r="E59" s="22"/>
      <c r="F59" s="22"/>
      <c r="G59" s="22"/>
      <c r="H59" s="22"/>
    </row>
    <row r="60" spans="1:10" ht="14.85" customHeight="1">
      <c r="A60" s="22"/>
      <c r="B60" s="22"/>
      <c r="C60" s="22"/>
      <c r="D60" s="22"/>
      <c r="E60" s="22"/>
      <c r="F60" s="22"/>
      <c r="G60" s="22"/>
      <c r="H60" s="22"/>
    </row>
    <row r="61" spans="1:10" ht="14.85" customHeight="1">
      <c r="A61" s="22"/>
      <c r="B61" s="22"/>
      <c r="C61" s="22"/>
      <c r="D61" s="22"/>
      <c r="E61" s="22"/>
      <c r="F61" s="22"/>
      <c r="G61" s="22"/>
      <c r="H61" s="22"/>
    </row>
    <row r="62" spans="1:10" ht="14.85" customHeight="1">
      <c r="A62" s="22"/>
      <c r="B62" s="22"/>
      <c r="C62" s="22"/>
      <c r="D62" s="22"/>
      <c r="E62" s="22"/>
      <c r="F62" s="22"/>
      <c r="G62" s="22"/>
      <c r="H62" s="22"/>
    </row>
    <row r="63" spans="1:10" ht="14.85" customHeight="1">
      <c r="A63" s="22"/>
      <c r="B63" s="22"/>
      <c r="C63" s="22"/>
      <c r="D63" s="22"/>
      <c r="E63" s="22"/>
      <c r="F63" s="22"/>
      <c r="G63" s="22"/>
      <c r="H63" s="22"/>
    </row>
    <row r="64" spans="1:10" ht="14.85" customHeight="1">
      <c r="A64" s="22"/>
      <c r="B64" s="22"/>
      <c r="C64" s="22"/>
      <c r="D64" s="22"/>
      <c r="E64" s="22"/>
      <c r="F64" s="22"/>
      <c r="G64" s="22"/>
      <c r="H64" s="22"/>
    </row>
    <row r="65" spans="1:8" ht="14.85" customHeight="1">
      <c r="A65" s="22"/>
      <c r="B65" s="22"/>
      <c r="C65" s="22"/>
      <c r="D65" s="22"/>
      <c r="E65" s="22"/>
      <c r="F65" s="22"/>
      <c r="G65" s="22"/>
      <c r="H65" s="22"/>
    </row>
    <row r="66" spans="1:8" ht="14.85" customHeight="1">
      <c r="A66" s="22"/>
      <c r="B66" s="22"/>
      <c r="C66" s="22"/>
      <c r="D66" s="22"/>
      <c r="E66" s="22"/>
      <c r="F66" s="22"/>
      <c r="G66" s="22"/>
      <c r="H66" s="22"/>
    </row>
    <row r="67" spans="1:8" ht="14.85" customHeight="1">
      <c r="A67" s="22"/>
      <c r="B67" s="22"/>
      <c r="C67" s="22"/>
      <c r="D67" s="22"/>
      <c r="E67" s="22"/>
      <c r="F67" s="22"/>
      <c r="G67" s="22"/>
      <c r="H67" s="22"/>
    </row>
    <row r="68" spans="1:8" ht="14.85" customHeight="1">
      <c r="A68" s="22"/>
      <c r="B68" s="22"/>
      <c r="C68" s="22"/>
      <c r="D68" s="22"/>
      <c r="E68" s="22"/>
      <c r="F68" s="22"/>
      <c r="G68" s="22"/>
      <c r="H68" s="22"/>
    </row>
    <row r="69" spans="1:8" ht="14.85" customHeight="1">
      <c r="A69" s="22"/>
      <c r="B69" s="22"/>
      <c r="C69" s="22"/>
      <c r="D69" s="22"/>
      <c r="E69" s="22"/>
      <c r="F69" s="22"/>
      <c r="G69" s="22"/>
      <c r="H69" s="22"/>
    </row>
    <row r="70" spans="1:8" ht="14.85" customHeight="1">
      <c r="A70" s="22"/>
      <c r="B70" s="22"/>
      <c r="C70" s="22"/>
      <c r="D70" s="22"/>
      <c r="E70" s="22"/>
      <c r="F70" s="22"/>
      <c r="G70" s="22"/>
      <c r="H70" s="22"/>
    </row>
    <row r="71" spans="1:8" ht="14.85" customHeight="1">
      <c r="A71" s="22"/>
      <c r="B71" s="22"/>
      <c r="C71" s="22"/>
      <c r="D71" s="22"/>
      <c r="E71" s="22"/>
      <c r="F71" s="22"/>
      <c r="G71" s="22"/>
      <c r="H71" s="22"/>
    </row>
    <row r="72" spans="1:8" ht="14.85" customHeight="1">
      <c r="A72" s="22"/>
      <c r="B72" s="22"/>
      <c r="C72" s="22"/>
      <c r="D72" s="22"/>
      <c r="E72" s="22"/>
      <c r="F72" s="22"/>
      <c r="G72" s="22"/>
      <c r="H72" s="22"/>
    </row>
    <row r="73" spans="1:8" ht="14.85" customHeight="1">
      <c r="A73" s="22"/>
      <c r="B73" s="22"/>
      <c r="C73" s="22"/>
      <c r="D73" s="22"/>
      <c r="E73" s="22"/>
      <c r="F73" s="22"/>
      <c r="G73" s="22"/>
      <c r="H73" s="22"/>
    </row>
    <row r="74" spans="1:8" ht="14.85" customHeight="1">
      <c r="A74" s="22"/>
      <c r="B74" s="22"/>
      <c r="C74" s="22"/>
      <c r="D74" s="22"/>
      <c r="E74" s="22"/>
      <c r="F74" s="22"/>
      <c r="G74" s="22"/>
      <c r="H74" s="22"/>
    </row>
    <row r="75" spans="1:8" ht="14.85" customHeight="1">
      <c r="A75" s="246" t="s">
        <v>288</v>
      </c>
      <c r="B75" s="246" t="s">
        <v>293</v>
      </c>
      <c r="C75" s="246" t="str">
        <f>IF(INPUT!J2,"ROLL VALUE",IF(INPUT!J3,"SALE PRICE",IF(INPUT!J4,"TOTAL VALUE","ROLL VALUE")))</f>
        <v>SALE PRICE</v>
      </c>
      <c r="D75" s="249" t="str">
        <f>IF(INPUT!G3,"ACREAGE","SQ FT")</f>
        <v>SQ FT</v>
      </c>
      <c r="E75" s="246" t="str">
        <f>IF(INPUT!G3,"$/ACRE","$/SQ FT")</f>
        <v>$/SQ FT</v>
      </c>
      <c r="F75" s="878" t="s">
        <v>291</v>
      </c>
      <c r="G75" s="878"/>
      <c r="H75" s="878"/>
    </row>
    <row r="76" spans="1:8" ht="14.85" customHeight="1">
      <c r="A76" s="879">
        <f>INPUT!B30</f>
        <v>107350009</v>
      </c>
      <c r="B76" s="882">
        <f>INPUT!B5</f>
        <v>46031</v>
      </c>
      <c r="C76" s="883">
        <f>INPUT!B25</f>
        <v>0</v>
      </c>
      <c r="D76" s="884">
        <f>IF(INPUT!G3,INPUT!B38,INPUT!B34)</f>
        <v>10490</v>
      </c>
      <c r="E76" s="885">
        <f>IFERROR(C76/D76, "—")</f>
        <v>0</v>
      </c>
      <c r="F76" s="881" t="str">
        <f>CONCATENATE(UPPER(TEXT(IF(LEN(TRIM(INPUT!B31))&gt;0, INPUT!B31, INPUT!B43), "@")), ", ", UPPER(TEXT(INPUT!B32,"@")), ", CA")</f>
        <v>1215 GRAPHITE DR, CORONA, CA</v>
      </c>
      <c r="G76" s="881"/>
      <c r="H76" s="881"/>
    </row>
    <row r="77" spans="1:8" ht="14.85" customHeight="1">
      <c r="A77" s="879"/>
      <c r="B77" s="879"/>
      <c r="C77" s="883"/>
      <c r="D77" s="884"/>
      <c r="E77" s="885"/>
      <c r="F77" s="881"/>
      <c r="G77" s="881"/>
      <c r="H77" s="881"/>
    </row>
    <row r="78" spans="1:8" ht="14.85" customHeight="1">
      <c r="A78" s="22"/>
      <c r="B78" s="22"/>
      <c r="C78" s="22"/>
      <c r="D78" s="22"/>
      <c r="E78" s="22"/>
      <c r="F78" s="22"/>
      <c r="G78" s="22"/>
      <c r="H78" s="22"/>
    </row>
    <row r="79" spans="1:8" ht="14.85" customHeight="1">
      <c r="A79" s="22"/>
      <c r="B79" s="22"/>
      <c r="C79" s="22"/>
      <c r="D79" s="22"/>
      <c r="E79" s="22"/>
      <c r="F79" s="22"/>
      <c r="G79" s="22"/>
      <c r="H79" s="22"/>
    </row>
    <row r="80" spans="1:8" ht="14.85" customHeight="1">
      <c r="A80" s="22"/>
      <c r="B80" s="22"/>
      <c r="C80" s="22"/>
      <c r="D80" s="22"/>
      <c r="E80" s="22"/>
      <c r="F80" s="22"/>
      <c r="G80" s="22"/>
      <c r="H80" s="22"/>
    </row>
    <row r="81" spans="1:8" ht="14.85" customHeight="1">
      <c r="A81" s="22"/>
      <c r="B81" s="22"/>
      <c r="C81" s="22"/>
      <c r="D81" s="22"/>
      <c r="E81" s="22"/>
      <c r="F81" s="22"/>
      <c r="G81" s="22"/>
      <c r="H81" s="22"/>
    </row>
    <row r="82" spans="1:8" ht="14.85" customHeight="1">
      <c r="A82" s="22"/>
      <c r="B82" s="22"/>
      <c r="C82" s="22"/>
      <c r="D82" s="22"/>
      <c r="E82" s="22"/>
      <c r="F82" s="22"/>
      <c r="G82" s="22"/>
      <c r="H82" s="22"/>
    </row>
    <row r="83" spans="1:8" ht="14.85" customHeight="1">
      <c r="A83" s="22"/>
      <c r="B83" s="22"/>
      <c r="C83" s="22"/>
      <c r="D83" s="22"/>
      <c r="E83" s="22"/>
      <c r="F83" s="22"/>
      <c r="G83" s="22"/>
      <c r="H83" s="22"/>
    </row>
    <row r="84" spans="1:8" ht="14.85" customHeight="1">
      <c r="A84" s="22"/>
      <c r="B84" s="22"/>
      <c r="C84" s="22"/>
      <c r="D84" s="22"/>
      <c r="E84" s="22"/>
      <c r="F84" s="22"/>
      <c r="G84" s="22"/>
      <c r="H84" s="22"/>
    </row>
    <row r="85" spans="1:8" ht="14.85" customHeight="1">
      <c r="A85" s="22"/>
      <c r="B85" s="22"/>
      <c r="C85" s="22"/>
      <c r="D85" s="22"/>
      <c r="E85" s="22"/>
      <c r="F85" s="22"/>
      <c r="G85" s="22"/>
      <c r="H85" s="22"/>
    </row>
    <row r="86" spans="1:8" ht="14.85" customHeight="1">
      <c r="A86" s="22"/>
      <c r="B86" s="22"/>
      <c r="C86" s="22"/>
      <c r="D86" s="22"/>
      <c r="E86" s="22"/>
      <c r="F86" s="22"/>
      <c r="G86" s="22"/>
      <c r="H86" s="22"/>
    </row>
    <row r="87" spans="1:8" ht="14.85" customHeight="1">
      <c r="A87" s="22"/>
      <c r="B87" s="22"/>
      <c r="C87" s="22"/>
      <c r="D87" s="22"/>
      <c r="E87" s="22"/>
      <c r="F87" s="22"/>
      <c r="G87" s="22"/>
      <c r="H87" s="22"/>
    </row>
    <row r="88" spans="1:8" ht="14.85" customHeight="1">
      <c r="A88" s="22"/>
      <c r="B88" s="22"/>
      <c r="C88" s="22"/>
      <c r="D88" s="22"/>
      <c r="E88" s="22"/>
      <c r="F88" s="22"/>
      <c r="G88" s="22"/>
      <c r="H88" s="22"/>
    </row>
    <row r="89" spans="1:8" ht="14.85" customHeight="1">
      <c r="A89" s="22"/>
      <c r="B89" s="22"/>
      <c r="C89" s="22"/>
      <c r="D89" s="22"/>
      <c r="E89" s="22"/>
      <c r="F89" s="22"/>
      <c r="G89" s="22"/>
      <c r="H89" s="22"/>
    </row>
    <row r="90" spans="1:8" ht="14.85" customHeight="1">
      <c r="A90" s="22"/>
      <c r="B90" s="22"/>
      <c r="C90" s="22"/>
      <c r="D90" s="22"/>
      <c r="E90" s="22"/>
      <c r="F90" s="22"/>
      <c r="G90" s="22"/>
      <c r="H90" s="22"/>
    </row>
    <row r="91" spans="1:8" ht="14.85" customHeight="1">
      <c r="A91" s="22"/>
      <c r="B91" s="22"/>
      <c r="C91" s="22"/>
      <c r="D91" s="22"/>
      <c r="E91" s="22"/>
      <c r="F91" s="22"/>
      <c r="G91" s="22"/>
      <c r="H91" s="22"/>
    </row>
    <row r="92" spans="1:8" ht="14.85" customHeight="1">
      <c r="A92" s="22"/>
      <c r="B92" s="22"/>
      <c r="C92" s="22"/>
      <c r="D92" s="22"/>
      <c r="E92" s="22"/>
      <c r="F92" s="22"/>
      <c r="G92" s="22"/>
      <c r="H92" s="22"/>
    </row>
    <row r="93" spans="1:8" ht="14.85" customHeight="1">
      <c r="A93" s="22"/>
      <c r="B93" s="22"/>
      <c r="C93" s="22"/>
      <c r="D93" s="22"/>
      <c r="E93" s="22"/>
      <c r="F93" s="22"/>
      <c r="G93" s="22"/>
      <c r="H93" s="22"/>
    </row>
    <row r="94" spans="1:8" ht="14.85" customHeight="1">
      <c r="A94" s="22"/>
      <c r="B94" s="22"/>
      <c r="C94" s="22"/>
      <c r="D94" s="22"/>
      <c r="E94" s="22"/>
      <c r="F94" s="22"/>
      <c r="G94" s="22"/>
      <c r="H94" s="22"/>
    </row>
    <row r="95" spans="1:8" ht="14.85" customHeight="1">
      <c r="A95" s="22"/>
      <c r="B95" s="22"/>
      <c r="C95" s="22"/>
      <c r="D95" s="22"/>
      <c r="E95" s="22"/>
      <c r="F95" s="22"/>
      <c r="G95" s="22"/>
      <c r="H95" s="22"/>
    </row>
    <row r="96" spans="1:8" ht="14.85" customHeight="1">
      <c r="A96" s="22"/>
      <c r="B96" s="22"/>
      <c r="C96" s="22"/>
      <c r="D96" s="22"/>
      <c r="E96" s="22"/>
      <c r="F96" s="22"/>
      <c r="G96" s="22"/>
      <c r="H96" s="22"/>
    </row>
    <row r="97" spans="1:8" ht="14.85" customHeight="1">
      <c r="A97" s="22"/>
      <c r="B97" s="22"/>
      <c r="C97" s="22"/>
      <c r="D97" s="22"/>
      <c r="E97" s="22"/>
      <c r="F97" s="22"/>
      <c r="G97" s="22"/>
      <c r="H97" s="22"/>
    </row>
    <row r="98" spans="1:8">
      <c r="A98" s="22"/>
      <c r="B98" s="22"/>
      <c r="C98" s="22"/>
      <c r="D98" s="22"/>
      <c r="E98" s="22"/>
      <c r="F98" s="22"/>
      <c r="G98" s="22"/>
      <c r="H98" s="22"/>
    </row>
    <row r="99" spans="1:8">
      <c r="A99" s="22"/>
      <c r="B99" s="22"/>
      <c r="C99" s="22"/>
      <c r="D99" s="22"/>
      <c r="E99" s="22"/>
      <c r="F99" s="22"/>
      <c r="G99" s="22"/>
      <c r="H99" s="22"/>
    </row>
    <row r="100" spans="1:8">
      <c r="A100" s="22"/>
      <c r="B100" s="22"/>
      <c r="C100" s="22"/>
      <c r="D100" s="22"/>
      <c r="E100" s="22"/>
      <c r="F100" s="22"/>
      <c r="G100" s="22"/>
      <c r="H100" s="22"/>
    </row>
  </sheetData>
  <sheetProtection formatColumns="0" formatRows="0"/>
  <mergeCells count="16">
    <mergeCell ref="A1:H1"/>
    <mergeCell ref="A26:A27"/>
    <mergeCell ref="C26:C27"/>
    <mergeCell ref="D26:D27"/>
    <mergeCell ref="E26:E27"/>
    <mergeCell ref="A51:H51"/>
    <mergeCell ref="F25:H25"/>
    <mergeCell ref="F26:H27"/>
    <mergeCell ref="B26:B27"/>
    <mergeCell ref="B76:B77"/>
    <mergeCell ref="C76:C77"/>
    <mergeCell ref="D76:D77"/>
    <mergeCell ref="E76:E77"/>
    <mergeCell ref="A76:A77"/>
    <mergeCell ref="F76:H77"/>
    <mergeCell ref="F75:H75"/>
  </mergeCells>
  <printOptions horizontalCentered="1" verticalCentered="1"/>
  <pageMargins left="0.25" right="0.25" top="0.5" bottom="0.5" header="0.3" footer="0.3"/>
  <pageSetup scale="96" orientation="portrait" r:id="rId1"/>
  <headerFooter scaleWithDoc="0"/>
  <rowBreaks count="1" manualBreakCount="1">
    <brk id="50" max="16383" man="1"/>
  </rowBreaks>
  <colBreaks count="1" manualBreakCount="1">
    <brk id="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69989" r:id="rId4" name="Button 5">
              <controlPr defaultSize="0" print="0" autoFill="0" autoPict="0" macro="[0]!PasteImage_Slot5">
                <anchor moveWithCells="1" sizeWithCells="1">
                  <from>
                    <xdr:col>10</xdr:col>
                    <xdr:colOff>830580</xdr:colOff>
                    <xdr:row>5</xdr:row>
                    <xdr:rowOff>0</xdr:rowOff>
                  </from>
                  <to>
                    <xdr:col>12</xdr:col>
                    <xdr:colOff>518160</xdr:colOff>
                    <xdr:row>8</xdr:row>
                    <xdr:rowOff>0</xdr:rowOff>
                  </to>
                </anchor>
              </controlPr>
            </control>
          </mc:Choice>
        </mc:AlternateContent>
        <mc:AlternateContent xmlns:mc="http://schemas.openxmlformats.org/markup-compatibility/2006">
          <mc:Choice Requires="x14">
            <control shapeId="169990" r:id="rId5" name="Button 6">
              <controlPr defaultSize="0" print="0" autoFill="0" autoPict="0" macro="[0]!PasteImage_Slot6">
                <anchor moveWithCells="1" sizeWithCells="1">
                  <from>
                    <xdr:col>8</xdr:col>
                    <xdr:colOff>411480</xdr:colOff>
                    <xdr:row>16</xdr:row>
                    <xdr:rowOff>22860</xdr:rowOff>
                  </from>
                  <to>
                    <xdr:col>10</xdr:col>
                    <xdr:colOff>83820</xdr:colOff>
                    <xdr:row>19</xdr:row>
                    <xdr:rowOff>22860</xdr:rowOff>
                  </to>
                </anchor>
              </controlPr>
            </control>
          </mc:Choice>
        </mc:AlternateContent>
        <mc:AlternateContent xmlns:mc="http://schemas.openxmlformats.org/markup-compatibility/2006">
          <mc:Choice Requires="x14">
            <control shapeId="169991" r:id="rId6" name="Button 7">
              <controlPr defaultSize="0" print="0" autoFill="0" autoPict="0" macro="[0]!PasteImage_Slot7">
                <anchor moveWithCells="1" sizeWithCells="1">
                  <from>
                    <xdr:col>8</xdr:col>
                    <xdr:colOff>411480</xdr:colOff>
                    <xdr:row>19</xdr:row>
                    <xdr:rowOff>38100</xdr:rowOff>
                  </from>
                  <to>
                    <xdr:col>10</xdr:col>
                    <xdr:colOff>83820</xdr:colOff>
                    <xdr:row>22</xdr:row>
                    <xdr:rowOff>38100</xdr:rowOff>
                  </to>
                </anchor>
              </controlPr>
            </control>
          </mc:Choice>
        </mc:AlternateContent>
        <mc:AlternateContent xmlns:mc="http://schemas.openxmlformats.org/markup-compatibility/2006">
          <mc:Choice Requires="x14">
            <control shapeId="169992" r:id="rId7" name="Button 8">
              <controlPr defaultSize="0" print="0" autoFill="0" autoPict="0" macro="[0]!land_comp_map">
                <anchor moveWithCells="1" sizeWithCells="1">
                  <from>
                    <xdr:col>8</xdr:col>
                    <xdr:colOff>411480</xdr:colOff>
                    <xdr:row>8</xdr:row>
                    <xdr:rowOff>7620</xdr:rowOff>
                  </from>
                  <to>
                    <xdr:col>10</xdr:col>
                    <xdr:colOff>83820</xdr:colOff>
                    <xdr:row>11</xdr:row>
                    <xdr:rowOff>7620</xdr:rowOff>
                  </to>
                </anchor>
              </controlPr>
            </control>
          </mc:Choice>
        </mc:AlternateContent>
        <mc:AlternateContent xmlns:mc="http://schemas.openxmlformats.org/markup-compatibility/2006">
          <mc:Choice Requires="x14">
            <control shapeId="169994" r:id="rId8" name="Button 10">
              <controlPr defaultSize="0" print="0" autoFill="0" autoPict="0" macro="[0]!landsub_googappeal">
                <anchor moveWithCells="1" sizeWithCells="1">
                  <from>
                    <xdr:col>8</xdr:col>
                    <xdr:colOff>419100</xdr:colOff>
                    <xdr:row>1</xdr:row>
                    <xdr:rowOff>175260</xdr:rowOff>
                  </from>
                  <to>
                    <xdr:col>10</xdr:col>
                    <xdr:colOff>83820</xdr:colOff>
                    <xdr:row>4</xdr:row>
                    <xdr:rowOff>175260</xdr:rowOff>
                  </to>
                </anchor>
              </controlPr>
            </control>
          </mc:Choice>
        </mc:AlternateContent>
        <mc:AlternateContent xmlns:mc="http://schemas.openxmlformats.org/markup-compatibility/2006">
          <mc:Choice Requires="x14">
            <control shapeId="169998" r:id="rId9" name="Button 14">
              <controlPr defaultSize="0" print="0" autoFill="0" autoPict="0" macro="[0]!land_sub_map">
                <anchor moveWithCells="1" sizeWithCells="1">
                  <from>
                    <xdr:col>8</xdr:col>
                    <xdr:colOff>411480</xdr:colOff>
                    <xdr:row>22</xdr:row>
                    <xdr:rowOff>45720</xdr:rowOff>
                  </from>
                  <to>
                    <xdr:col>10</xdr:col>
                    <xdr:colOff>83820</xdr:colOff>
                    <xdr:row>25</xdr:row>
                    <xdr:rowOff>45720</xdr:rowOff>
                  </to>
                </anchor>
              </controlPr>
            </control>
          </mc:Choice>
        </mc:AlternateContent>
        <mc:AlternateContent xmlns:mc="http://schemas.openxmlformats.org/markup-compatibility/2006">
          <mc:Choice Requires="x14">
            <control shapeId="169988" r:id="rId10" name="Button 4">
              <controlPr defaultSize="0" print="0" autoFill="0" autoPict="0" macro="[0]!InsertSatellite_Slot5">
                <anchor moveWithCells="1" sizeWithCells="1">
                  <from>
                    <xdr:col>8</xdr:col>
                    <xdr:colOff>419100</xdr:colOff>
                    <xdr:row>4</xdr:row>
                    <xdr:rowOff>175260</xdr:rowOff>
                  </from>
                  <to>
                    <xdr:col>10</xdr:col>
                    <xdr:colOff>83820</xdr:colOff>
                    <xdr:row>7</xdr:row>
                    <xdr:rowOff>175260</xdr:rowOff>
                  </to>
                </anchor>
              </controlPr>
            </control>
          </mc:Choice>
        </mc:AlternateContent>
        <mc:AlternateContent xmlns:mc="http://schemas.openxmlformats.org/markup-compatibility/2006">
          <mc:Choice Requires="x14">
            <control shapeId="169999" r:id="rId11" name="Button 15">
              <controlPr defaultSize="0" print="0" autoFill="0" autoPict="0" macro="[0]!TogglePrintArea_A1H50_A1H100">
                <anchor moveWithCells="1" sizeWithCells="1">
                  <from>
                    <xdr:col>8</xdr:col>
                    <xdr:colOff>411480</xdr:colOff>
                    <xdr:row>13</xdr:row>
                    <xdr:rowOff>7620</xdr:rowOff>
                  </from>
                  <to>
                    <xdr:col>10</xdr:col>
                    <xdr:colOff>83820</xdr:colOff>
                    <xdr:row>16</xdr:row>
                    <xdr:rowOff>7620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17878-DE0D-4570-B3F3-14FBB62992AC}">
  <sheetPr codeName="Sheet8">
    <tabColor theme="9" tint="-0.249977111117893"/>
  </sheetPr>
  <dimension ref="A1:BU59"/>
  <sheetViews>
    <sheetView showZeros="0" showOutlineSymbols="0" view="pageBreakPreview" topLeftCell="B1" zoomScale="115" zoomScaleNormal="85" zoomScaleSheetLayoutView="115" workbookViewId="0">
      <selection activeCell="D8" sqref="D8"/>
    </sheetView>
  </sheetViews>
  <sheetFormatPr defaultColWidth="8.6640625" defaultRowHeight="12" customHeight="1"/>
  <cols>
    <col min="1" max="1" width="0.44140625" style="58" hidden="1" customWidth="1"/>
    <col min="2" max="2" width="32" style="58" customWidth="1"/>
    <col min="3" max="3" width="16.6640625" style="58" customWidth="1"/>
    <col min="4" max="6" width="16.6640625" style="59" customWidth="1"/>
    <col min="7" max="7" width="16.5546875" style="58" customWidth="1"/>
    <col min="8" max="8" width="1.6640625" style="58" customWidth="1"/>
    <col min="9" max="9" width="16.6640625" style="58" customWidth="1"/>
    <col min="10" max="10" width="14.6640625" style="58" customWidth="1"/>
    <col min="11" max="11" width="14.88671875" style="58" customWidth="1"/>
    <col min="12" max="12" width="12.33203125" style="58" customWidth="1"/>
    <col min="13" max="16384" width="8.6640625" style="58"/>
  </cols>
  <sheetData>
    <row r="1" spans="1:73" s="104" customFormat="1" ht="24.75" customHeight="1">
      <c r="A1" s="886" t="s">
        <v>85</v>
      </c>
      <c r="B1" s="886"/>
      <c r="C1" s="886"/>
      <c r="D1" s="886"/>
      <c r="E1" s="886"/>
      <c r="F1" s="886"/>
      <c r="G1" s="886"/>
    </row>
    <row r="2" spans="1:73" s="80" customFormat="1" ht="15" customHeight="1">
      <c r="A2" s="86"/>
      <c r="B2" s="345" t="s">
        <v>12</v>
      </c>
      <c r="C2" s="346">
        <f ca="1">NOW()</f>
        <v>46232.458790277778</v>
      </c>
      <c r="D2" s="347"/>
      <c r="E2" s="348"/>
      <c r="F2" s="348"/>
      <c r="G2" s="349"/>
    </row>
    <row r="3" spans="1:73" s="80" customFormat="1" ht="15" customHeight="1">
      <c r="A3" s="86"/>
      <c r="B3" s="345" t="s">
        <v>84</v>
      </c>
      <c r="C3" s="350">
        <f>INPUT!B5</f>
        <v>46031</v>
      </c>
      <c r="D3" s="348"/>
      <c r="E3" s="348"/>
      <c r="F3" s="348"/>
      <c r="G3" s="349"/>
    </row>
    <row r="4" spans="1:73" s="80" customFormat="1" ht="15" customHeight="1">
      <c r="A4" s="86"/>
      <c r="B4" s="351" t="str">
        <f>IF(INPUT!J4=TRUE, "Permit #:", IF(INPUT!J3=FALSE, "Appeal #:", "Transfer Doc #:"))</f>
        <v>Transfer Doc #:</v>
      </c>
      <c r="C4" s="352" t="str">
        <f>IF(INPUT!J2, INPUT!B16, INPUT!B12)</f>
        <v>2026-0006707</v>
      </c>
      <c r="D4" s="347"/>
      <c r="E4" s="353"/>
      <c r="F4" s="347"/>
      <c r="G4" s="347"/>
    </row>
    <row r="5" spans="1:73" s="80" customFormat="1" ht="15" customHeight="1" thickBot="1">
      <c r="A5" s="86"/>
      <c r="B5" s="349" t="s">
        <v>261</v>
      </c>
      <c r="C5" s="354">
        <f>INPUT!B7</f>
        <v>677</v>
      </c>
      <c r="D5" s="347"/>
      <c r="E5" s="353"/>
      <c r="F5" s="347"/>
      <c r="G5" s="347"/>
    </row>
    <row r="6" spans="1:73" s="80" customFormat="1" ht="15" customHeight="1" thickTop="1">
      <c r="A6" s="86"/>
      <c r="B6" s="896" t="s">
        <v>83</v>
      </c>
      <c r="C6" s="898"/>
      <c r="D6" s="898"/>
      <c r="E6" s="898"/>
      <c r="F6" s="898"/>
      <c r="G6" s="898"/>
    </row>
    <row r="7" spans="1:73" s="80" customFormat="1" ht="15" customHeight="1" thickBot="1">
      <c r="A7" s="86"/>
      <c r="B7" s="897"/>
      <c r="C7" s="899"/>
      <c r="D7" s="899"/>
      <c r="E7" s="899"/>
      <c r="F7" s="899"/>
      <c r="G7" s="899"/>
    </row>
    <row r="8" spans="1:73" s="80" customFormat="1" ht="15" customHeight="1" thickTop="1">
      <c r="A8" s="86"/>
      <c r="B8" s="355" t="s">
        <v>82</v>
      </c>
      <c r="C8" s="356" t="s">
        <v>10</v>
      </c>
      <c r="D8" s="356" t="s">
        <v>141</v>
      </c>
      <c r="E8" s="356" t="s">
        <v>142</v>
      </c>
      <c r="F8" s="356" t="s">
        <v>143</v>
      </c>
      <c r="G8" s="356" t="s">
        <v>144</v>
      </c>
      <c r="AZ8" s="103"/>
      <c r="BA8" s="103"/>
      <c r="BB8" s="103"/>
      <c r="BC8" s="103"/>
      <c r="BD8" s="103"/>
      <c r="BE8" s="103"/>
      <c r="BF8" s="103"/>
      <c r="BG8" s="103"/>
      <c r="BH8" s="103"/>
      <c r="BI8" s="103"/>
      <c r="BJ8" s="103"/>
      <c r="BK8" s="103"/>
      <c r="BL8" s="103"/>
      <c r="BM8" s="103"/>
      <c r="BN8" s="103"/>
      <c r="BO8" s="103"/>
      <c r="BP8" s="103"/>
      <c r="BQ8" s="103"/>
      <c r="BR8" s="103"/>
      <c r="BS8" s="103"/>
      <c r="BT8" s="103"/>
      <c r="BU8" s="103"/>
    </row>
    <row r="9" spans="1:73" s="80" customFormat="1" ht="15.6">
      <c r="A9" s="86"/>
      <c r="B9" s="92" t="s">
        <v>81</v>
      </c>
      <c r="C9" s="357">
        <f>INPUT!B30</f>
        <v>107350009</v>
      </c>
      <c r="D9" s="357">
        <f>IFERROR(VLOOKUP(1, 'Arranged Comps'!A:U,2,FALSE),"")</f>
        <v>101370038</v>
      </c>
      <c r="E9" s="358">
        <f>IFERROR(VLOOKUP(2, 'Arranged Comps'!A:U,2,FALSE),"")</f>
        <v>115200043</v>
      </c>
      <c r="F9" s="357">
        <f>IFERROR(VLOOKUP(3, 'Arranged Comps'!A:U,2,FALSE),"")</f>
        <v>107350010</v>
      </c>
      <c r="G9" s="358">
        <f>IFERROR(VLOOKUP(4, 'Arranged Comps'!A:U,2,FALSE),"")</f>
        <v>211060012</v>
      </c>
      <c r="J9" s="90"/>
      <c r="N9" s="80" t="s">
        <v>11</v>
      </c>
    </row>
    <row r="10" spans="1:73" s="80" customFormat="1" ht="31.2">
      <c r="A10" s="86"/>
      <c r="B10" s="158" t="s">
        <v>24</v>
      </c>
      <c r="C10" s="359" t="str">
        <f>UPPER(INPUT!B31)</f>
        <v>1215 GRAPHITE DR</v>
      </c>
      <c r="D10" s="359" t="str">
        <f>IFERROR(VLOOKUP(1, 'Arranged Comps'!A:U,14,FALSE),"")</f>
        <v>255 GLIDER CIR</v>
      </c>
      <c r="E10" s="359" t="str">
        <f>IFERROR(VLOOKUP(2, 'Arranged Comps'!A:U,14,FALSE),"")</f>
        <v>127 RADIO RD</v>
      </c>
      <c r="F10" s="359" t="str">
        <f>IFERROR(VLOOKUP(3, 'Arranged Comps'!A:U,14,FALSE),"")</f>
        <v>1220 GRAPHITE DR</v>
      </c>
      <c r="G10" s="359" t="str">
        <f>IFERROR(VLOOKUP(4, 'Arranged Comps'!A:U,14,FALSE),"")</f>
        <v>3403 DURAHART ST</v>
      </c>
      <c r="J10" s="90"/>
      <c r="K10" s="102"/>
      <c r="L10" s="101"/>
    </row>
    <row r="11" spans="1:73" s="725" customFormat="1" ht="31.2">
      <c r="A11" s="722"/>
      <c r="B11" s="723" t="s">
        <v>13</v>
      </c>
      <c r="C11" s="724" t="str">
        <f>UPPER(INPUT!B32)</f>
        <v>CORONA</v>
      </c>
      <c r="D11" s="724" t="str">
        <f>IFERROR(VLOOKUP(1, 'Arranged Comps'!A:U,15,FALSE),"")</f>
        <v>CORONA</v>
      </c>
      <c r="E11" s="724" t="str">
        <f>IFERROR(VLOOKUP(2, 'Arranged Comps'!A:U,15,FALSE),"")</f>
        <v>CORONA</v>
      </c>
      <c r="F11" s="724" t="str">
        <f>IFERROR(VLOOKUP(3, 'Arranged Comps'!A:U,15,FALSE),"")</f>
        <v>CORONA</v>
      </c>
      <c r="G11" s="724" t="str">
        <f>IFERROR(VLOOKUP(4, 'Arranged Comps'!A:U,15,FALSE),"")</f>
        <v>RIVERSIDE</v>
      </c>
      <c r="J11" s="726"/>
    </row>
    <row r="12" spans="1:73" s="80" customFormat="1" ht="15" customHeight="1">
      <c r="A12" s="86"/>
      <c r="B12" s="158" t="s">
        <v>68</v>
      </c>
      <c r="C12" s="660">
        <f>INPUT!B37</f>
        <v>25</v>
      </c>
      <c r="D12" s="660">
        <f>IFERROR(VLOOKUP(1, 'Arranged Comps'!A:U,9,FALSE),"")</f>
        <v>26</v>
      </c>
      <c r="E12" s="660">
        <f>IFERROR(VLOOKUP(2, 'Arranged Comps'!A:U,9,FALSE),"")</f>
        <v>21</v>
      </c>
      <c r="F12" s="660">
        <f>IFERROR(VLOOKUP(3, 'Arranged Comps'!A:U,9,FALSE),"")</f>
        <v>25</v>
      </c>
      <c r="G12" s="661">
        <f>IFERROR(VLOOKUP(4, 'Arranged Comps'!A:U,9,FALSE),"")</f>
        <v>45</v>
      </c>
      <c r="J12" s="90"/>
    </row>
    <row r="13" spans="1:73" s="80" customFormat="1" ht="15" customHeight="1">
      <c r="A13" s="86"/>
      <c r="B13" s="92" t="s">
        <v>67</v>
      </c>
      <c r="C13" s="361" t="str">
        <f>INPUT!B40</f>
        <v>C2.5</v>
      </c>
      <c r="D13" s="361" t="s">
        <v>137</v>
      </c>
      <c r="E13" s="361" t="s">
        <v>147</v>
      </c>
      <c r="F13" s="361" t="s">
        <v>147</v>
      </c>
      <c r="G13" s="361" t="s">
        <v>137</v>
      </c>
      <c r="I13" s="731" t="s">
        <v>436</v>
      </c>
      <c r="J13" s="90"/>
    </row>
    <row r="14" spans="1:73" s="80" customFormat="1" ht="15" customHeight="1">
      <c r="A14" s="86"/>
      <c r="B14" s="158" t="s">
        <v>15</v>
      </c>
      <c r="C14" s="362" t="str">
        <f>INPUT!B41</f>
        <v>Average</v>
      </c>
      <c r="D14" s="363" t="s">
        <v>16</v>
      </c>
      <c r="E14" s="363" t="s">
        <v>16</v>
      </c>
      <c r="F14" s="363" t="s">
        <v>16</v>
      </c>
      <c r="G14" s="363" t="s">
        <v>16</v>
      </c>
      <c r="J14" s="90"/>
    </row>
    <row r="15" spans="1:73" s="80" customFormat="1" ht="15" customHeight="1">
      <c r="A15" s="86"/>
      <c r="B15" s="92" t="s">
        <v>80</v>
      </c>
      <c r="C15" s="364"/>
      <c r="D15" s="364">
        <f>IFERROR(VLOOKUP(1, 'Arranged Comps'!A:U,3,FALSE),"")</f>
        <v>46114</v>
      </c>
      <c r="E15" s="364">
        <f>IFERROR(VLOOKUP(2, 'Arranged Comps'!A:U,3,FALSE),"")</f>
        <v>46021</v>
      </c>
      <c r="F15" s="364">
        <f ca="1">IFERROR(VLOOKUP(3, 'Arranged Comps'!A:U,3,FALSE),"")+('Program Data'!K3-'Program Data'!K2)</f>
        <v>45817</v>
      </c>
      <c r="G15" s="364">
        <f>IFERROR(VLOOKUP(4, 'Arranged Comps'!A:U,3,FALSE),"")</f>
        <v>46027</v>
      </c>
      <c r="J15" s="90"/>
    </row>
    <row r="16" spans="1:73" s="80" customFormat="1" ht="15" customHeight="1">
      <c r="A16" s="86"/>
      <c r="B16" s="158" t="s">
        <v>79</v>
      </c>
      <c r="C16" s="365"/>
      <c r="D16" s="365">
        <f>IFERROR(VLOOKUP(1, 'Arranged Comps'!A:U,5,FALSE),"")</f>
        <v>5300000</v>
      </c>
      <c r="E16" s="365">
        <f>IFERROR(VLOOKUP(2, 'Arranged Comps'!A:U,5,FALSE),"")</f>
        <v>2675000</v>
      </c>
      <c r="F16" s="365">
        <f>IFERROR(VLOOKUP(3, 'Arranged Comps'!A:U,5,FALSE),"")</f>
        <v>6400000</v>
      </c>
      <c r="G16" s="365">
        <f>IFERROR(VLOOKUP(4, 'Arranged Comps'!A:U,5,FALSE),"")</f>
        <v>1570000</v>
      </c>
      <c r="J16" s="90"/>
      <c r="AX16" s="93"/>
      <c r="AY16" s="93"/>
      <c r="AZ16" s="93"/>
      <c r="BA16" s="93"/>
      <c r="BB16" s="93"/>
      <c r="BC16" s="93"/>
      <c r="BD16" s="93"/>
      <c r="BE16" s="93"/>
      <c r="BF16" s="93"/>
      <c r="BG16" s="93"/>
      <c r="BH16" s="93"/>
      <c r="BI16" s="93"/>
      <c r="BJ16" s="93"/>
      <c r="BK16" s="93"/>
    </row>
    <row r="17" spans="1:65" s="80" customFormat="1" ht="15" customHeight="1">
      <c r="A17" s="86"/>
      <c r="B17" s="92" t="s">
        <v>430</v>
      </c>
      <c r="C17" s="369">
        <f>'Arranged Comps'!U2</f>
        <v>22</v>
      </c>
      <c r="D17" s="369">
        <f>IFERROR(VLOOKUP(1, 'Arranged Comps'!A:U,21,FALSE),"")</f>
        <v>18</v>
      </c>
      <c r="E17" s="369">
        <f>IFERROR(VLOOKUP(2, 'Arranged Comps'!A:U,21,FALSE),"")</f>
        <v>18</v>
      </c>
      <c r="F17" s="369">
        <f>IFERROR(VLOOKUP(3, 'Arranged Comps'!A:U,21,FALSE),"")</f>
        <v>22</v>
      </c>
      <c r="G17" s="369">
        <f>IFERROR(VLOOKUP(4, 'Arranged Comps'!A:U,21,FALSE),"")</f>
        <v>16</v>
      </c>
      <c r="J17" s="90"/>
      <c r="AX17" s="93"/>
      <c r="AY17" s="93"/>
      <c r="AZ17" s="93"/>
      <c r="BA17" s="93"/>
      <c r="BB17" s="93"/>
      <c r="BC17" s="93"/>
      <c r="BD17" s="93"/>
      <c r="BE17" s="93"/>
      <c r="BF17" s="93"/>
      <c r="BG17" s="93"/>
      <c r="BH17" s="93"/>
      <c r="BI17" s="93"/>
      <c r="BJ17" s="93"/>
      <c r="BK17" s="93"/>
    </row>
    <row r="18" spans="1:65" s="80" customFormat="1" ht="15" customHeight="1">
      <c r="A18" s="86"/>
      <c r="B18" s="158" t="s">
        <v>140</v>
      </c>
      <c r="C18" s="367">
        <f>INPUT!B38</f>
        <v>0.68</v>
      </c>
      <c r="D18" s="367">
        <f>IFERROR(VLOOKUP(1, 'Arranged Comps'!A:U,16,FALSE),"")</f>
        <v>0.96</v>
      </c>
      <c r="E18" s="367">
        <f>IFERROR(VLOOKUP(2, 'Arranged Comps'!A:U,16,FALSE),"")</f>
        <v>0.51</v>
      </c>
      <c r="F18" s="367">
        <f>IFERROR(VLOOKUP(3, 'Arranged Comps'!A:U,16,FALSE),"")</f>
        <v>0.99</v>
      </c>
      <c r="G18" s="368">
        <f>IFERROR(VLOOKUP(4, 'Arranged Comps'!A:U,16,FALSE),"")</f>
        <v>0.36</v>
      </c>
      <c r="J18" s="90"/>
      <c r="AX18" s="93"/>
      <c r="AY18" s="93"/>
      <c r="AZ18" s="93"/>
      <c r="BA18" s="93"/>
      <c r="BB18" s="93"/>
      <c r="BC18" s="93"/>
      <c r="BD18" s="93"/>
      <c r="BE18" s="93"/>
      <c r="BF18" s="93"/>
      <c r="BG18" s="93"/>
      <c r="BH18" s="93"/>
      <c r="BI18" s="93"/>
      <c r="BJ18" s="93"/>
      <c r="BK18" s="93"/>
    </row>
    <row r="19" spans="1:65" s="80" customFormat="1" ht="15" customHeight="1">
      <c r="A19" s="86"/>
      <c r="B19" s="92" t="s">
        <v>77</v>
      </c>
      <c r="C19" s="369">
        <f>INPUT!B34</f>
        <v>10490</v>
      </c>
      <c r="D19" s="369">
        <f>IFERROR(VLOOKUP(1, 'Arranged Comps'!A:U,6,FALSE),"")</f>
        <v>17767</v>
      </c>
      <c r="E19" s="369">
        <f>IFERROR(VLOOKUP(2, 'Arranged Comps'!A:U,6,FALSE),"")</f>
        <v>6936</v>
      </c>
      <c r="F19" s="369">
        <f>IFERROR(VLOOKUP(3, 'Arranged Comps'!A:U,6,FALSE),"")</f>
        <v>16504</v>
      </c>
      <c r="G19" s="369">
        <f>IFERROR(VLOOKUP(4, 'Arranged Comps'!A:U,6,FALSE),"")</f>
        <v>5840</v>
      </c>
      <c r="J19" s="90"/>
      <c r="AX19" s="93"/>
      <c r="AY19" s="93"/>
      <c r="AZ19" s="93"/>
      <c r="BA19" s="93"/>
      <c r="BB19" s="93"/>
      <c r="BC19" s="93"/>
      <c r="BD19" s="93"/>
      <c r="BE19" s="93"/>
      <c r="BF19" s="93"/>
      <c r="BG19" s="93"/>
      <c r="BH19" s="93"/>
      <c r="BI19" s="93"/>
      <c r="BJ19" s="93"/>
      <c r="BK19" s="93"/>
    </row>
    <row r="20" spans="1:65" s="80" customFormat="1" ht="15" customHeight="1">
      <c r="A20" s="86"/>
      <c r="B20" s="158" t="s">
        <v>64</v>
      </c>
      <c r="C20" s="370">
        <f>IFERROR((C18*43560)/C19,"")</f>
        <v>2.8237178265014302</v>
      </c>
      <c r="D20" s="370">
        <f>IFERROR((D18*43560)/D19,"")</f>
        <v>2.3536669105645296</v>
      </c>
      <c r="E20" s="370">
        <f>IFERROR((E18*43560)/E19,"")</f>
        <v>3.2029411764705884</v>
      </c>
      <c r="F20" s="370">
        <f>IFERROR((F18*43560)/F19,"")</f>
        <v>2.6129665535627726</v>
      </c>
      <c r="G20" s="370">
        <f>IFERROR((G18*43560)/G19,"")</f>
        <v>2.6852054794520543</v>
      </c>
      <c r="J20" s="90"/>
      <c r="AX20" s="93"/>
      <c r="AY20" s="93"/>
      <c r="AZ20" s="93"/>
      <c r="BA20" s="93"/>
      <c r="BB20" s="93"/>
      <c r="BC20" s="93"/>
      <c r="BD20" s="93"/>
      <c r="BE20" s="93"/>
      <c r="BF20" s="93"/>
      <c r="BG20" s="93"/>
      <c r="BH20" s="93"/>
      <c r="BI20" s="93"/>
      <c r="BJ20" s="93"/>
      <c r="BK20" s="93"/>
    </row>
    <row r="21" spans="1:65" s="94" customFormat="1" ht="18" customHeight="1">
      <c r="A21" s="371"/>
      <c r="B21" s="372"/>
      <c r="C21" s="890" t="s">
        <v>76</v>
      </c>
      <c r="D21" s="891"/>
      <c r="E21" s="891"/>
      <c r="F21" s="891"/>
      <c r="G21" s="892"/>
      <c r="H21" s="100"/>
      <c r="J21" s="98"/>
      <c r="AX21" s="95"/>
      <c r="AY21" s="95"/>
      <c r="AZ21" s="95"/>
      <c r="BA21" s="95"/>
      <c r="BB21" s="95"/>
      <c r="BC21" s="95"/>
      <c r="BD21" s="95"/>
      <c r="BE21" s="95"/>
      <c r="BF21" s="95"/>
      <c r="BG21" s="95"/>
      <c r="BH21" s="95"/>
      <c r="BI21" s="95"/>
      <c r="BJ21" s="95"/>
      <c r="BK21" s="95"/>
    </row>
    <row r="22" spans="1:65" s="80" customFormat="1" ht="15" customHeight="1">
      <c r="A22" s="86"/>
      <c r="B22" s="373" t="s">
        <v>75</v>
      </c>
      <c r="C22" s="370">
        <f>IFERROR(IF(AND(ISNUMBER(C16)=TRUE, ISNUMBER(C19)=TRUE),C16/C19,0),"")</f>
        <v>0</v>
      </c>
      <c r="D22" s="370">
        <f>IFERROR(IF(D19&gt;0,D16/D19,0)," ")</f>
        <v>298.30584792030169</v>
      </c>
      <c r="E22" s="370">
        <f>IFERROR(IF(E19&gt;0,E16/E19,0)," ")</f>
        <v>385.66897347174165</v>
      </c>
      <c r="F22" s="370">
        <f>IFERROR(IF(F19&gt;0,F16/F19,0)," ")</f>
        <v>387.78477944740666</v>
      </c>
      <c r="G22" s="370">
        <f>IFERROR(IF(G19&gt;0,G16/G19,0)," ")</f>
        <v>268.83561643835617</v>
      </c>
      <c r="J22" s="90"/>
      <c r="AX22" s="93"/>
      <c r="AY22" s="93"/>
      <c r="AZ22" s="93"/>
      <c r="BA22" s="93"/>
      <c r="BB22" s="93"/>
      <c r="BC22" s="93"/>
      <c r="BD22" s="93"/>
      <c r="BE22" s="93"/>
      <c r="BF22" s="93"/>
      <c r="BG22" s="93"/>
      <c r="BH22" s="93"/>
      <c r="BI22" s="93"/>
      <c r="BJ22" s="93"/>
      <c r="BK22" s="93"/>
    </row>
    <row r="23" spans="1:65" s="80" customFormat="1" ht="15" customHeight="1">
      <c r="A23" s="86"/>
      <c r="B23" s="374" t="s">
        <v>74</v>
      </c>
      <c r="C23" s="375"/>
      <c r="D23" s="512"/>
      <c r="E23" s="512"/>
      <c r="F23" s="512"/>
      <c r="G23" s="512"/>
      <c r="H23" s="90"/>
      <c r="J23" s="90"/>
      <c r="AX23" s="93"/>
      <c r="AY23" s="93"/>
      <c r="AZ23" s="93"/>
      <c r="BA23" s="93"/>
      <c r="BB23" s="93"/>
      <c r="BC23" s="93"/>
      <c r="BD23" s="93"/>
      <c r="BE23" s="93"/>
      <c r="BF23" s="93"/>
      <c r="BG23" s="93"/>
      <c r="BH23" s="93"/>
      <c r="BI23" s="93"/>
      <c r="BJ23" s="93"/>
      <c r="BK23" s="93"/>
    </row>
    <row r="24" spans="1:65" s="80" customFormat="1" ht="15" customHeight="1">
      <c r="A24" s="86"/>
      <c r="B24" s="373" t="s">
        <v>73</v>
      </c>
      <c r="C24" s="375"/>
      <c r="D24" s="513"/>
      <c r="E24" s="513"/>
      <c r="F24" s="513"/>
      <c r="G24" s="513"/>
      <c r="H24" s="90"/>
      <c r="J24" s="90"/>
      <c r="AX24" s="93"/>
      <c r="AY24" s="93"/>
      <c r="AZ24" s="93"/>
      <c r="BA24" s="93"/>
      <c r="BB24" s="93"/>
      <c r="BC24" s="93"/>
      <c r="BD24" s="93"/>
      <c r="BE24" s="93"/>
      <c r="BF24" s="93"/>
      <c r="BG24" s="93"/>
      <c r="BH24" s="93"/>
      <c r="BI24" s="93"/>
      <c r="BJ24" s="93"/>
      <c r="BK24" s="93"/>
    </row>
    <row r="25" spans="1:65" s="80" customFormat="1" ht="15" customHeight="1">
      <c r="A25" s="86"/>
      <c r="B25" s="374" t="s">
        <v>72</v>
      </c>
      <c r="C25" s="375"/>
      <c r="D25" s="376">
        <f>IFERROR(ROUND(D22+(D22*D23)+(D22+(D22*D23))*D24,2)," ")</f>
        <v>298.31</v>
      </c>
      <c r="E25" s="376">
        <f>IFERROR(ROUND(E22+(E22*E23)+(E22+(E22*E23))*E24,2)," ")</f>
        <v>385.67</v>
      </c>
      <c r="F25" s="376">
        <f>IFERROR(ROUND(F22+(F22*F23)+(F22+(F22*F23))*F24,2)," ")</f>
        <v>387.78</v>
      </c>
      <c r="G25" s="376">
        <f>IFERROR(ROUND(G22+(G22*G23)+(G22+(G22*G23))*G24,2)," ")</f>
        <v>268.83999999999997</v>
      </c>
      <c r="H25" s="90"/>
      <c r="J25" s="90"/>
      <c r="AX25" s="93"/>
      <c r="AY25" s="93"/>
      <c r="AZ25" s="93"/>
      <c r="BA25" s="93"/>
      <c r="BB25" s="93"/>
      <c r="BC25" s="93"/>
      <c r="BD25" s="93"/>
      <c r="BE25" s="93"/>
      <c r="BF25" s="93"/>
      <c r="BG25" s="93"/>
      <c r="BH25" s="93"/>
      <c r="BI25" s="93"/>
      <c r="BJ25" s="93"/>
      <c r="BK25" s="93"/>
    </row>
    <row r="26" spans="1:65" s="94" customFormat="1" ht="18" customHeight="1">
      <c r="A26" s="371"/>
      <c r="B26" s="372"/>
      <c r="C26" s="893" t="s">
        <v>71</v>
      </c>
      <c r="D26" s="894"/>
      <c r="E26" s="894"/>
      <c r="F26" s="894"/>
      <c r="G26" s="895"/>
      <c r="H26" s="99"/>
      <c r="J26" s="98"/>
      <c r="K26" s="97"/>
      <c r="L26" s="96"/>
      <c r="AZ26" s="95"/>
      <c r="BA26" s="95"/>
      <c r="BB26" s="95"/>
      <c r="BC26" s="95"/>
      <c r="BD26" s="95"/>
      <c r="BE26" s="95"/>
      <c r="BF26" s="95"/>
      <c r="BG26" s="95"/>
      <c r="BH26" s="95"/>
      <c r="BI26" s="95"/>
      <c r="BJ26" s="95"/>
      <c r="BK26" s="95"/>
      <c r="BL26" s="95"/>
      <c r="BM26" s="95"/>
    </row>
    <row r="27" spans="1:65" s="80" customFormat="1" ht="15" customHeight="1">
      <c r="A27" s="86"/>
      <c r="B27" s="158" t="s">
        <v>70</v>
      </c>
      <c r="C27" s="164"/>
      <c r="D27" s="160">
        <v>0.15</v>
      </c>
      <c r="E27" s="160">
        <v>-0.05</v>
      </c>
      <c r="F27" s="160">
        <v>0.1</v>
      </c>
      <c r="G27" s="160">
        <v>-0.1</v>
      </c>
      <c r="J27" s="90"/>
      <c r="K27" s="82"/>
      <c r="L27" s="81"/>
      <c r="AZ27" s="93"/>
      <c r="BA27" s="93"/>
      <c r="BB27" s="93"/>
      <c r="BC27" s="93"/>
      <c r="BD27" s="93"/>
      <c r="BE27" s="93"/>
      <c r="BF27" s="93"/>
      <c r="BG27" s="93"/>
      <c r="BH27" s="93"/>
      <c r="BI27" s="93"/>
      <c r="BJ27" s="93"/>
      <c r="BK27" s="93"/>
      <c r="BL27" s="93"/>
      <c r="BM27" s="93"/>
    </row>
    <row r="28" spans="1:65" s="80" customFormat="1" ht="15" customHeight="1">
      <c r="A28" s="86"/>
      <c r="B28" s="92" t="s">
        <v>24</v>
      </c>
      <c r="C28" s="164"/>
      <c r="D28" s="88">
        <v>0</v>
      </c>
      <c r="E28" s="88">
        <v>0</v>
      </c>
      <c r="F28" s="88">
        <v>0</v>
      </c>
      <c r="G28" s="88">
        <v>0.05</v>
      </c>
      <c r="J28" s="90"/>
      <c r="K28" s="82"/>
      <c r="L28" s="81"/>
      <c r="AZ28" s="93"/>
      <c r="BA28" s="93"/>
      <c r="BB28" s="93"/>
      <c r="BC28" s="93"/>
      <c r="BD28" s="93"/>
      <c r="BE28" s="93"/>
      <c r="BF28" s="93"/>
      <c r="BG28" s="93"/>
      <c r="BH28" s="93"/>
      <c r="BI28" s="93"/>
      <c r="BJ28" s="93"/>
      <c r="BK28" s="93"/>
      <c r="BL28" s="93"/>
      <c r="BM28" s="93"/>
    </row>
    <row r="29" spans="1:65" s="80" customFormat="1" ht="15" customHeight="1">
      <c r="A29" s="86"/>
      <c r="B29" s="158" t="s">
        <v>69</v>
      </c>
      <c r="C29" s="165"/>
      <c r="D29" s="160"/>
      <c r="E29" s="160"/>
      <c r="F29" s="160"/>
      <c r="G29" s="160"/>
      <c r="J29" s="90"/>
      <c r="K29" s="82"/>
      <c r="L29" s="81"/>
    </row>
    <row r="30" spans="1:65" s="80" customFormat="1" ht="15" customHeight="1">
      <c r="A30" s="86"/>
      <c r="B30" s="92" t="s">
        <v>68</v>
      </c>
      <c r="C30" s="165"/>
      <c r="D30" s="88">
        <v>0</v>
      </c>
      <c r="E30" s="88">
        <v>-0.02</v>
      </c>
      <c r="F30" s="88">
        <v>0</v>
      </c>
      <c r="G30" s="88">
        <v>0.1</v>
      </c>
      <c r="J30" s="90"/>
      <c r="K30" s="82"/>
      <c r="L30" s="81"/>
    </row>
    <row r="31" spans="1:65" s="80" customFormat="1" ht="15" customHeight="1">
      <c r="A31" s="86"/>
      <c r="B31" s="161" t="s">
        <v>429</v>
      </c>
      <c r="C31" s="166"/>
      <c r="D31" s="160"/>
      <c r="E31" s="160"/>
      <c r="F31" s="160"/>
      <c r="G31" s="160"/>
      <c r="J31" s="90"/>
      <c r="K31" s="82"/>
      <c r="L31" s="81"/>
    </row>
    <row r="32" spans="1:65" s="80" customFormat="1" ht="15" customHeight="1">
      <c r="A32" s="86"/>
      <c r="B32" s="92" t="s">
        <v>431</v>
      </c>
      <c r="C32" s="165"/>
      <c r="D32" s="88">
        <v>0.05</v>
      </c>
      <c r="E32" s="88">
        <v>0.05</v>
      </c>
      <c r="F32" s="88"/>
      <c r="G32" s="88">
        <v>0.05</v>
      </c>
      <c r="J32" s="90"/>
      <c r="K32" s="82"/>
      <c r="L32" s="81"/>
    </row>
    <row r="33" spans="1:14" s="80" customFormat="1" ht="15" customHeight="1">
      <c r="A33" s="86"/>
      <c r="B33" s="159" t="s">
        <v>66</v>
      </c>
      <c r="C33" s="167"/>
      <c r="D33" s="160"/>
      <c r="E33" s="160"/>
      <c r="F33" s="160"/>
      <c r="G33" s="160"/>
      <c r="J33" s="90"/>
      <c r="K33" s="82"/>
      <c r="L33" s="81"/>
    </row>
    <row r="34" spans="1:14" s="80" customFormat="1" ht="15" customHeight="1">
      <c r="A34" s="86"/>
      <c r="B34" s="91" t="s">
        <v>65</v>
      </c>
      <c r="C34" s="167"/>
      <c r="D34" s="88"/>
      <c r="E34" s="88"/>
      <c r="F34" s="88"/>
      <c r="G34" s="88"/>
      <c r="J34" s="90"/>
      <c r="K34" s="82"/>
      <c r="L34" s="81"/>
    </row>
    <row r="35" spans="1:14" s="80" customFormat="1" ht="15" customHeight="1">
      <c r="A35" s="226" t="s">
        <v>11</v>
      </c>
      <c r="B35" s="159" t="s">
        <v>64</v>
      </c>
      <c r="C35" s="227"/>
      <c r="D35" s="160"/>
      <c r="E35" s="160"/>
      <c r="F35" s="160"/>
      <c r="G35" s="160"/>
      <c r="H35" s="228"/>
      <c r="J35" s="90"/>
      <c r="K35" s="82"/>
      <c r="L35" s="81"/>
      <c r="M35" s="228"/>
      <c r="N35" s="228"/>
    </row>
    <row r="36" spans="1:14" s="80" customFormat="1" ht="15" customHeight="1">
      <c r="A36" s="226"/>
      <c r="B36" s="89" t="s">
        <v>63</v>
      </c>
      <c r="C36" s="227"/>
      <c r="D36" s="88"/>
      <c r="E36" s="88"/>
      <c r="F36" s="88"/>
      <c r="G36" s="88"/>
      <c r="H36" s="228"/>
      <c r="I36" s="228"/>
      <c r="J36" s="228"/>
      <c r="K36" s="229"/>
      <c r="L36" s="230"/>
      <c r="M36" s="228"/>
      <c r="N36" s="228"/>
    </row>
    <row r="37" spans="1:14" s="80" customFormat="1" ht="15" customHeight="1" thickBot="1">
      <c r="A37" s="86"/>
      <c r="B37" s="163" t="s">
        <v>62</v>
      </c>
      <c r="C37" s="87" t="s">
        <v>11</v>
      </c>
      <c r="D37" s="162">
        <f>IF(SUM(D27:D36)=0, "0%", SUM(D27:D36))</f>
        <v>0.2</v>
      </c>
      <c r="E37" s="162">
        <f>IF(SUM(E27:E36)=0, "0%", SUM(E27:E36))</f>
        <v>-2.0000000000000004E-2</v>
      </c>
      <c r="F37" s="162">
        <f>IF(SUM(F27:F36)=0, "0%", SUM(F27:F36))</f>
        <v>0.1</v>
      </c>
      <c r="G37" s="162">
        <f>IF(SUM(G27:G36)=0, "0%", SUM(G27:G36))</f>
        <v>0.1</v>
      </c>
      <c r="K37" s="82"/>
      <c r="L37" s="81"/>
    </row>
    <row r="38" spans="1:14" s="80" customFormat="1" ht="15" customHeight="1" thickTop="1" thickBot="1">
      <c r="A38" s="86"/>
      <c r="B38" s="85" t="s">
        <v>61</v>
      </c>
      <c r="C38" s="84">
        <f>+C22</f>
        <v>0</v>
      </c>
      <c r="D38" s="83">
        <f>IFERROR(IF(D25&gt;0,D25*(1+D37),0)," ")</f>
        <v>357.97199999999998</v>
      </c>
      <c r="E38" s="83">
        <f>IFERROR(IF(E25&gt;0,E25*(1+E37),0)," ")</f>
        <v>377.95659999999998</v>
      </c>
      <c r="F38" s="83">
        <f>IFERROR(IF(F25&gt;0,F25*(1+F37),0)," ")</f>
        <v>426.55799999999999</v>
      </c>
      <c r="G38" s="83">
        <f>IFERROR(IF(G25&gt;0,G25*(1+G37),0)," ")</f>
        <v>295.72399999999999</v>
      </c>
      <c r="K38" s="82"/>
      <c r="L38" s="81"/>
    </row>
    <row r="39" spans="1:14" ht="12" customHeight="1" thickTop="1">
      <c r="A39" s="66"/>
      <c r="B39" s="79"/>
      <c r="C39" s="78"/>
      <c r="D39" s="77"/>
      <c r="E39" s="77"/>
      <c r="F39" s="77"/>
      <c r="G39" s="76"/>
      <c r="K39" s="70"/>
      <c r="L39" s="69"/>
    </row>
    <row r="40" spans="1:14" ht="16.2" thickBot="1">
      <c r="A40" s="66"/>
      <c r="B40" s="75" t="s">
        <v>154</v>
      </c>
      <c r="C40" s="74"/>
      <c r="D40" s="73"/>
      <c r="E40" s="73"/>
      <c r="F40" s="72" t="s">
        <v>60</v>
      </c>
      <c r="K40" s="70"/>
      <c r="L40" s="69"/>
    </row>
    <row r="41" spans="1:14" ht="18.75" customHeight="1" thickTop="1" thickBot="1">
      <c r="A41" s="66"/>
      <c r="B41" s="71">
        <v>375</v>
      </c>
      <c r="C41" s="377" t="s">
        <v>20</v>
      </c>
      <c r="D41" s="378">
        <f>+C19</f>
        <v>10490</v>
      </c>
      <c r="E41" s="379" t="s">
        <v>59</v>
      </c>
      <c r="F41" s="380">
        <f>IFERROR(SUM(B41*D41),"")</f>
        <v>3933750</v>
      </c>
      <c r="K41" s="70"/>
      <c r="L41" s="69"/>
    </row>
    <row r="42" spans="1:14" ht="6.75" customHeight="1" thickTop="1" thickBot="1">
      <c r="A42" s="66"/>
      <c r="B42" s="68"/>
      <c r="C42" s="377"/>
      <c r="D42" s="381"/>
      <c r="E42" s="382"/>
      <c r="F42" s="383"/>
      <c r="I42" s="60"/>
      <c r="J42" s="60"/>
      <c r="K42" s="65"/>
      <c r="L42" s="64"/>
    </row>
    <row r="43" spans="1:14" ht="19.2" thickTop="1" thickBot="1">
      <c r="A43" s="66"/>
      <c r="B43" s="67"/>
      <c r="C43" s="377"/>
      <c r="D43" s="384"/>
      <c r="E43" s="385" t="s">
        <v>58</v>
      </c>
      <c r="F43" s="380">
        <f>ROUND(SUM(F41:F41),-3)</f>
        <v>3934000</v>
      </c>
      <c r="I43" s="60"/>
      <c r="J43" s="60"/>
      <c r="K43" s="65"/>
      <c r="L43" s="64"/>
    </row>
    <row r="44" spans="1:14" ht="45.75" customHeight="1" thickTop="1">
      <c r="A44" s="66"/>
      <c r="B44" s="888" t="str">
        <f>IFERROR(CONCATENATE("REMARKS: ADJUSTED MARKET RANGE IS ",TEXT(ROUND(J48,2),"$#.00")," - ",TEXT(ROUND(K48,2),"$#.00"), "/sf. CORRELATED TO ",TEXT(ROUND(B41,2),"$#.00"),"/sf."),"")</f>
        <v>REMARKS: ADJUSTED MARKET RANGE IS $295.72 - $426.56/sf. CORRELATED TO $375.00/sf.</v>
      </c>
      <c r="C44" s="888"/>
      <c r="D44" s="888"/>
      <c r="E44" s="888"/>
      <c r="F44" s="888"/>
      <c r="G44" s="888"/>
      <c r="I44" s="60"/>
      <c r="J44" s="60"/>
      <c r="K44" s="65"/>
      <c r="L44" s="64"/>
    </row>
    <row r="45" spans="1:14" ht="12.75" customHeight="1">
      <c r="A45" s="63"/>
      <c r="B45" s="887"/>
      <c r="C45" s="887"/>
      <c r="D45" s="887"/>
      <c r="E45" s="887"/>
      <c r="F45" s="887"/>
      <c r="G45" s="887"/>
      <c r="I45" s="60"/>
      <c r="J45" s="60"/>
      <c r="K45" s="60"/>
      <c r="L45" s="60"/>
    </row>
    <row r="46" spans="1:14" ht="12.75" customHeight="1">
      <c r="A46" s="63"/>
      <c r="B46" s="889"/>
      <c r="C46" s="889"/>
      <c r="D46" s="889"/>
      <c r="E46" s="889"/>
      <c r="F46" s="889"/>
      <c r="G46" s="889"/>
      <c r="I46" s="60"/>
      <c r="J46" s="60"/>
      <c r="K46" s="60"/>
      <c r="L46" s="60"/>
    </row>
    <row r="47" spans="1:14" ht="12.75" customHeight="1">
      <c r="A47" s="63"/>
      <c r="B47" s="887"/>
      <c r="C47" s="887"/>
      <c r="D47" s="887"/>
      <c r="E47" s="887"/>
      <c r="F47" s="887"/>
      <c r="G47" s="887"/>
      <c r="I47" s="60"/>
      <c r="J47" s="62" t="s">
        <v>57</v>
      </c>
      <c r="K47" s="62" t="s">
        <v>56</v>
      </c>
      <c r="L47" s="62" t="s">
        <v>55</v>
      </c>
    </row>
    <row r="48" spans="1:14" ht="12" customHeight="1">
      <c r="G48" s="59"/>
      <c r="I48" s="60"/>
      <c r="J48" s="61">
        <f>MIN(D38:G38)</f>
        <v>295.72399999999999</v>
      </c>
      <c r="K48" s="61">
        <f>MAX(D38:G38)</f>
        <v>426.55799999999999</v>
      </c>
      <c r="L48" s="61">
        <f>IFERROR(AVERAGE(D38:G38),"")</f>
        <v>364.55264999999997</v>
      </c>
    </row>
    <row r="49" spans="2:12" ht="12" customHeight="1">
      <c r="B49" s="58" t="s">
        <v>11</v>
      </c>
      <c r="G49" s="59"/>
      <c r="I49" s="60"/>
      <c r="J49" s="61"/>
      <c r="K49" s="61"/>
      <c r="L49" s="61">
        <f>IFERROR(ROUND(L48,1),"")</f>
        <v>364.6</v>
      </c>
    </row>
    <row r="50" spans="2:12" ht="12" customHeight="1">
      <c r="G50" s="59"/>
      <c r="I50" s="60"/>
      <c r="J50" s="60"/>
      <c r="K50" s="60"/>
      <c r="L50" s="60"/>
    </row>
    <row r="51" spans="2:12" ht="12" customHeight="1">
      <c r="G51" s="59"/>
      <c r="I51" s="60"/>
      <c r="J51" s="60"/>
      <c r="K51" s="60"/>
      <c r="L51" s="60"/>
    </row>
    <row r="52" spans="2:12" ht="12" customHeight="1">
      <c r="G52" s="59"/>
      <c r="I52" s="60"/>
      <c r="J52" s="60"/>
      <c r="K52" s="60"/>
      <c r="L52" s="60"/>
    </row>
    <row r="53" spans="2:12" ht="12" customHeight="1">
      <c r="G53" s="59"/>
    </row>
    <row r="54" spans="2:12" ht="12" customHeight="1">
      <c r="G54" s="59"/>
    </row>
    <row r="55" spans="2:12" ht="12" customHeight="1">
      <c r="G55" s="59"/>
    </row>
    <row r="56" spans="2:12" ht="12" customHeight="1">
      <c r="G56" s="59"/>
    </row>
    <row r="57" spans="2:12" ht="12" customHeight="1">
      <c r="G57" s="59"/>
    </row>
    <row r="58" spans="2:12" ht="12" customHeight="1">
      <c r="G58" s="59"/>
    </row>
    <row r="59" spans="2:12" ht="12" customHeight="1">
      <c r="G59" s="59"/>
    </row>
  </sheetData>
  <sheetProtection formatColumns="0" formatRows="0" insertColumns="0" insertRows="0"/>
  <mergeCells count="13">
    <mergeCell ref="A1:G1"/>
    <mergeCell ref="B47:G47"/>
    <mergeCell ref="B44:G44"/>
    <mergeCell ref="B45:G45"/>
    <mergeCell ref="B46:G46"/>
    <mergeCell ref="C21:G21"/>
    <mergeCell ref="C26:G26"/>
    <mergeCell ref="B6:B7"/>
    <mergeCell ref="C6:C7"/>
    <mergeCell ref="D6:D7"/>
    <mergeCell ref="E6:E7"/>
    <mergeCell ref="F6:F7"/>
    <mergeCell ref="G6:G7"/>
  </mergeCells>
  <printOptions horizontalCentered="1" verticalCentered="1"/>
  <pageMargins left="0.25" right="0.25" top="0.5" bottom="0.5" header="0.3" footer="0.3"/>
  <pageSetup scale="86" orientation="portrait" r:id="rId1"/>
  <headerFooter scaleWithDoc="0"/>
  <ignoredErrors>
    <ignoredError sqref="G12"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transfer_clear_sale_grid">
                <anchor moveWithCells="1" sizeWithCells="1">
                  <from>
                    <xdr:col>10</xdr:col>
                    <xdr:colOff>0</xdr:colOff>
                    <xdr:row>25</xdr:row>
                    <xdr:rowOff>190500</xdr:rowOff>
                  </from>
                  <to>
                    <xdr:col>11</xdr:col>
                    <xdr:colOff>457200</xdr:colOff>
                    <xdr:row>27</xdr:row>
                    <xdr:rowOff>60960</xdr:rowOff>
                  </to>
                </anchor>
              </controlPr>
            </control>
          </mc:Choice>
        </mc:AlternateContent>
        <mc:AlternateContent xmlns:mc="http://schemas.openxmlformats.org/markup-compatibility/2006">
          <mc:Choice Requires="x14">
            <control shapeId="58370" r:id="rId5" name="Button 2">
              <controlPr defaultSize="0" print="0" autoFill="0" autoPict="0" macro="[0]!CalculateAgeAdjustment">
                <anchor moveWithCells="1" sizeWithCells="1">
                  <from>
                    <xdr:col>7</xdr:col>
                    <xdr:colOff>7620</xdr:colOff>
                    <xdr:row>29</xdr:row>
                    <xdr:rowOff>0</xdr:rowOff>
                  </from>
                  <to>
                    <xdr:col>8</xdr:col>
                    <xdr:colOff>868680</xdr:colOff>
                    <xdr:row>30</xdr:row>
                    <xdr:rowOff>0</xdr:rowOff>
                  </to>
                </anchor>
              </controlPr>
            </control>
          </mc:Choice>
        </mc:AlternateContent>
        <mc:AlternateContent xmlns:mc="http://schemas.openxmlformats.org/markup-compatibility/2006">
          <mc:Choice Requires="x14">
            <control shapeId="58372" r:id="rId6" name="Button 4">
              <controlPr defaultSize="0" print="0" autoFill="0" autoPict="0" macro="[0]!CalculateLandToBuildingAdjustment">
                <anchor moveWithCells="1" sizeWithCells="1">
                  <from>
                    <xdr:col>7</xdr:col>
                    <xdr:colOff>7620</xdr:colOff>
                    <xdr:row>34</xdr:row>
                    <xdr:rowOff>0</xdr:rowOff>
                  </from>
                  <to>
                    <xdr:col>8</xdr:col>
                    <xdr:colOff>861060</xdr:colOff>
                    <xdr:row>34</xdr:row>
                    <xdr:rowOff>190500</xdr:rowOff>
                  </to>
                </anchor>
              </controlPr>
            </control>
          </mc:Choice>
        </mc:AlternateContent>
        <mc:AlternateContent xmlns:mc="http://schemas.openxmlformats.org/markup-compatibility/2006">
          <mc:Choice Requires="x14">
            <control shapeId="58373" r:id="rId7" name="Button 5">
              <controlPr defaultSize="0" print="0" autoFill="0" autoPict="0" macro="[0]!SFAdjustment">
                <anchor moveWithCells="1" sizeWithCells="1">
                  <from>
                    <xdr:col>7</xdr:col>
                    <xdr:colOff>22860</xdr:colOff>
                    <xdr:row>26</xdr:row>
                    <xdr:rowOff>0</xdr:rowOff>
                  </from>
                  <to>
                    <xdr:col>8</xdr:col>
                    <xdr:colOff>868680</xdr:colOff>
                    <xdr:row>27</xdr:row>
                    <xdr:rowOff>0</xdr:rowOff>
                  </to>
                </anchor>
              </controlPr>
            </control>
          </mc:Choice>
        </mc:AlternateContent>
        <mc:AlternateContent xmlns:mc="http://schemas.openxmlformats.org/markup-compatibility/2006">
          <mc:Choice Requires="x14">
            <control shapeId="58374" r:id="rId8" name="Button 6">
              <controlPr defaultSize="0" print="0" autoFill="0" autoPict="0" macro="[0]!CalculateLocationAdjustment">
                <anchor moveWithCells="1" sizeWithCells="1">
                  <from>
                    <xdr:col>7</xdr:col>
                    <xdr:colOff>7620</xdr:colOff>
                    <xdr:row>27</xdr:row>
                    <xdr:rowOff>7620</xdr:rowOff>
                  </from>
                  <to>
                    <xdr:col>8</xdr:col>
                    <xdr:colOff>868680</xdr:colOff>
                    <xdr:row>27</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20CDA1B0-8AD2-4B63-8FEC-24240C44C8FF}">
          <x14:formula1>
            <xm:f>'Program Data'!$C$2:$C$5</xm:f>
          </x14:formula1>
          <xm:sqref>D14:G14</xm:sqref>
        </x14:dataValidation>
        <x14:dataValidation type="list" allowBlank="1" showInputMessage="1" showErrorMessage="1" xr:uid="{018EB0B9-2707-49EC-80F1-F19EEB97E809}">
          <x14:formula1>
            <xm:f>'Program Data'!$AC$2:$AC$9</xm:f>
          </x14:formula1>
          <xm:sqref>D13:G13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E3899-6DC6-4169-A6A7-F040F55CE793}">
  <sheetPr codeName="Sheet15">
    <tabColor rgb="FF7030A0"/>
    <pageSetUpPr fitToPage="1"/>
  </sheetPr>
  <dimension ref="A1:BV76"/>
  <sheetViews>
    <sheetView showGridLines="0" showZeros="0" showOutlineSymbols="0" topLeftCell="A14" zoomScaleNormal="100" zoomScaleSheetLayoutView="100" zoomScalePageLayoutView="190" workbookViewId="0">
      <selection activeCell="A25" sqref="A25:G25"/>
    </sheetView>
  </sheetViews>
  <sheetFormatPr defaultRowHeight="13.8"/>
  <cols>
    <col min="1" max="1" width="0.33203125" style="110" customWidth="1"/>
    <col min="2" max="2" width="31.33203125" style="110" customWidth="1"/>
    <col min="3" max="6" width="25.6640625" style="110" customWidth="1"/>
    <col min="7" max="7" width="25.6640625" style="110" hidden="1" customWidth="1"/>
    <col min="8" max="8" width="2.6640625" style="110" customWidth="1"/>
    <col min="9" max="9" width="6.5546875" style="110" customWidth="1"/>
    <col min="10" max="10" width="6.5546875" style="63" customWidth="1"/>
    <col min="11" max="11" width="4.44140625" style="110" customWidth="1"/>
    <col min="12" max="12" width="18.33203125" style="110" customWidth="1"/>
    <col min="13" max="13" width="16" style="110" customWidth="1"/>
    <col min="14" max="14" width="12.88671875" style="110" bestFit="1" customWidth="1"/>
    <col min="15" max="256" width="9.109375" style="110"/>
    <col min="257" max="257" width="1.6640625" style="110" customWidth="1"/>
    <col min="258" max="258" width="24.6640625" style="110" customWidth="1"/>
    <col min="259" max="263" width="16.33203125" style="110" customWidth="1"/>
    <col min="264" max="264" width="2.6640625" style="110" customWidth="1"/>
    <col min="265" max="265" width="9.109375" style="110" bestFit="1" customWidth="1"/>
    <col min="266" max="267" width="9.109375" style="110"/>
    <col min="268" max="268" width="16.44140625" style="110" customWidth="1"/>
    <col min="269" max="269" width="9.109375" style="110"/>
    <col min="270" max="270" width="12.88671875" style="110" bestFit="1" customWidth="1"/>
    <col min="271" max="512" width="9.109375" style="110"/>
    <col min="513" max="513" width="1.6640625" style="110" customWidth="1"/>
    <col min="514" max="514" width="24.6640625" style="110" customWidth="1"/>
    <col min="515" max="519" width="16.33203125" style="110" customWidth="1"/>
    <col min="520" max="520" width="2.6640625" style="110" customWidth="1"/>
    <col min="521" max="521" width="9.109375" style="110" bestFit="1" customWidth="1"/>
    <col min="522" max="523" width="9.109375" style="110"/>
    <col min="524" max="524" width="16.44140625" style="110" customWidth="1"/>
    <col min="525" max="525" width="9.109375" style="110"/>
    <col min="526" max="526" width="12.88671875" style="110" bestFit="1" customWidth="1"/>
    <col min="527" max="768" width="9.109375" style="110"/>
    <col min="769" max="769" width="1.6640625" style="110" customWidth="1"/>
    <col min="770" max="770" width="24.6640625" style="110" customWidth="1"/>
    <col min="771" max="775" width="16.33203125" style="110" customWidth="1"/>
    <col min="776" max="776" width="2.6640625" style="110" customWidth="1"/>
    <col min="777" max="777" width="9.109375" style="110" bestFit="1" customWidth="1"/>
    <col min="778" max="779" width="9.109375" style="110"/>
    <col min="780" max="780" width="16.44140625" style="110" customWidth="1"/>
    <col min="781" max="781" width="9.109375" style="110"/>
    <col min="782" max="782" width="12.88671875" style="110" bestFit="1" customWidth="1"/>
    <col min="783" max="1024" width="9.109375" style="110"/>
    <col min="1025" max="1025" width="1.6640625" style="110" customWidth="1"/>
    <col min="1026" max="1026" width="24.6640625" style="110" customWidth="1"/>
    <col min="1027" max="1031" width="16.33203125" style="110" customWidth="1"/>
    <col min="1032" max="1032" width="2.6640625" style="110" customWidth="1"/>
    <col min="1033" max="1033" width="9.109375" style="110" bestFit="1" customWidth="1"/>
    <col min="1034" max="1035" width="9.109375" style="110"/>
    <col min="1036" max="1036" width="16.44140625" style="110" customWidth="1"/>
    <col min="1037" max="1037" width="9.109375" style="110"/>
    <col min="1038" max="1038" width="12.88671875" style="110" bestFit="1" customWidth="1"/>
    <col min="1039" max="1280" width="9.109375" style="110"/>
    <col min="1281" max="1281" width="1.6640625" style="110" customWidth="1"/>
    <col min="1282" max="1282" width="24.6640625" style="110" customWidth="1"/>
    <col min="1283" max="1287" width="16.33203125" style="110" customWidth="1"/>
    <col min="1288" max="1288" width="2.6640625" style="110" customWidth="1"/>
    <col min="1289" max="1289" width="9.109375" style="110" bestFit="1" customWidth="1"/>
    <col min="1290" max="1291" width="9.109375" style="110"/>
    <col min="1292" max="1292" width="16.44140625" style="110" customWidth="1"/>
    <col min="1293" max="1293" width="9.109375" style="110"/>
    <col min="1294" max="1294" width="12.88671875" style="110" bestFit="1" customWidth="1"/>
    <col min="1295" max="1536" width="9.109375" style="110"/>
    <col min="1537" max="1537" width="1.6640625" style="110" customWidth="1"/>
    <col min="1538" max="1538" width="24.6640625" style="110" customWidth="1"/>
    <col min="1539" max="1543" width="16.33203125" style="110" customWidth="1"/>
    <col min="1544" max="1544" width="2.6640625" style="110" customWidth="1"/>
    <col min="1545" max="1545" width="9.109375" style="110" bestFit="1" customWidth="1"/>
    <col min="1546" max="1547" width="9.109375" style="110"/>
    <col min="1548" max="1548" width="16.44140625" style="110" customWidth="1"/>
    <col min="1549" max="1549" width="9.109375" style="110"/>
    <col min="1550" max="1550" width="12.88671875" style="110" bestFit="1" customWidth="1"/>
    <col min="1551" max="1792" width="9.109375" style="110"/>
    <col min="1793" max="1793" width="1.6640625" style="110" customWidth="1"/>
    <col min="1794" max="1794" width="24.6640625" style="110" customWidth="1"/>
    <col min="1795" max="1799" width="16.33203125" style="110" customWidth="1"/>
    <col min="1800" max="1800" width="2.6640625" style="110" customWidth="1"/>
    <col min="1801" max="1801" width="9.109375" style="110" bestFit="1" customWidth="1"/>
    <col min="1802" max="1803" width="9.109375" style="110"/>
    <col min="1804" max="1804" width="16.44140625" style="110" customWidth="1"/>
    <col min="1805" max="1805" width="9.109375" style="110"/>
    <col min="1806" max="1806" width="12.88671875" style="110" bestFit="1" customWidth="1"/>
    <col min="1807" max="2048" width="9.109375" style="110"/>
    <col min="2049" max="2049" width="1.6640625" style="110" customWidth="1"/>
    <col min="2050" max="2050" width="24.6640625" style="110" customWidth="1"/>
    <col min="2051" max="2055" width="16.33203125" style="110" customWidth="1"/>
    <col min="2056" max="2056" width="2.6640625" style="110" customWidth="1"/>
    <col min="2057" max="2057" width="9.109375" style="110" bestFit="1" customWidth="1"/>
    <col min="2058" max="2059" width="9.109375" style="110"/>
    <col min="2060" max="2060" width="16.44140625" style="110" customWidth="1"/>
    <col min="2061" max="2061" width="9.109375" style="110"/>
    <col min="2062" max="2062" width="12.88671875" style="110" bestFit="1" customWidth="1"/>
    <col min="2063" max="2304" width="9.109375" style="110"/>
    <col min="2305" max="2305" width="1.6640625" style="110" customWidth="1"/>
    <col min="2306" max="2306" width="24.6640625" style="110" customWidth="1"/>
    <col min="2307" max="2311" width="16.33203125" style="110" customWidth="1"/>
    <col min="2312" max="2312" width="2.6640625" style="110" customWidth="1"/>
    <col min="2313" max="2313" width="9.109375" style="110" bestFit="1" customWidth="1"/>
    <col min="2314" max="2315" width="9.109375" style="110"/>
    <col min="2316" max="2316" width="16.44140625" style="110" customWidth="1"/>
    <col min="2317" max="2317" width="9.109375" style="110"/>
    <col min="2318" max="2318" width="12.88671875" style="110" bestFit="1" customWidth="1"/>
    <col min="2319" max="2560" width="9.109375" style="110"/>
    <col min="2561" max="2561" width="1.6640625" style="110" customWidth="1"/>
    <col min="2562" max="2562" width="24.6640625" style="110" customWidth="1"/>
    <col min="2563" max="2567" width="16.33203125" style="110" customWidth="1"/>
    <col min="2568" max="2568" width="2.6640625" style="110" customWidth="1"/>
    <col min="2569" max="2569" width="9.109375" style="110" bestFit="1" customWidth="1"/>
    <col min="2570" max="2571" width="9.109375" style="110"/>
    <col min="2572" max="2572" width="16.44140625" style="110" customWidth="1"/>
    <col min="2573" max="2573" width="9.109375" style="110"/>
    <col min="2574" max="2574" width="12.88671875" style="110" bestFit="1" customWidth="1"/>
    <col min="2575" max="2816" width="9.109375" style="110"/>
    <col min="2817" max="2817" width="1.6640625" style="110" customWidth="1"/>
    <col min="2818" max="2818" width="24.6640625" style="110" customWidth="1"/>
    <col min="2819" max="2823" width="16.33203125" style="110" customWidth="1"/>
    <col min="2824" max="2824" width="2.6640625" style="110" customWidth="1"/>
    <col min="2825" max="2825" width="9.109375" style="110" bestFit="1" customWidth="1"/>
    <col min="2826" max="2827" width="9.109375" style="110"/>
    <col min="2828" max="2828" width="16.44140625" style="110" customWidth="1"/>
    <col min="2829" max="2829" width="9.109375" style="110"/>
    <col min="2830" max="2830" width="12.88671875" style="110" bestFit="1" customWidth="1"/>
    <col min="2831" max="3072" width="9.109375" style="110"/>
    <col min="3073" max="3073" width="1.6640625" style="110" customWidth="1"/>
    <col min="3074" max="3074" width="24.6640625" style="110" customWidth="1"/>
    <col min="3075" max="3079" width="16.33203125" style="110" customWidth="1"/>
    <col min="3080" max="3080" width="2.6640625" style="110" customWidth="1"/>
    <col min="3081" max="3081" width="9.109375" style="110" bestFit="1" customWidth="1"/>
    <col min="3082" max="3083" width="9.109375" style="110"/>
    <col min="3084" max="3084" width="16.44140625" style="110" customWidth="1"/>
    <col min="3085" max="3085" width="9.109375" style="110"/>
    <col min="3086" max="3086" width="12.88671875" style="110" bestFit="1" customWidth="1"/>
    <col min="3087" max="3328" width="9.109375" style="110"/>
    <col min="3329" max="3329" width="1.6640625" style="110" customWidth="1"/>
    <col min="3330" max="3330" width="24.6640625" style="110" customWidth="1"/>
    <col min="3331" max="3335" width="16.33203125" style="110" customWidth="1"/>
    <col min="3336" max="3336" width="2.6640625" style="110" customWidth="1"/>
    <col min="3337" max="3337" width="9.109375" style="110" bestFit="1" customWidth="1"/>
    <col min="3338" max="3339" width="9.109375" style="110"/>
    <col min="3340" max="3340" width="16.44140625" style="110" customWidth="1"/>
    <col min="3341" max="3341" width="9.109375" style="110"/>
    <col min="3342" max="3342" width="12.88671875" style="110" bestFit="1" customWidth="1"/>
    <col min="3343" max="3584" width="9.109375" style="110"/>
    <col min="3585" max="3585" width="1.6640625" style="110" customWidth="1"/>
    <col min="3586" max="3586" width="24.6640625" style="110" customWidth="1"/>
    <col min="3587" max="3591" width="16.33203125" style="110" customWidth="1"/>
    <col min="3592" max="3592" width="2.6640625" style="110" customWidth="1"/>
    <col min="3593" max="3593" width="9.109375" style="110" bestFit="1" customWidth="1"/>
    <col min="3594" max="3595" width="9.109375" style="110"/>
    <col min="3596" max="3596" width="16.44140625" style="110" customWidth="1"/>
    <col min="3597" max="3597" width="9.109375" style="110"/>
    <col min="3598" max="3598" width="12.88671875" style="110" bestFit="1" customWidth="1"/>
    <col min="3599" max="3840" width="9.109375" style="110"/>
    <col min="3841" max="3841" width="1.6640625" style="110" customWidth="1"/>
    <col min="3842" max="3842" width="24.6640625" style="110" customWidth="1"/>
    <col min="3843" max="3847" width="16.33203125" style="110" customWidth="1"/>
    <col min="3848" max="3848" width="2.6640625" style="110" customWidth="1"/>
    <col min="3849" max="3849" width="9.109375" style="110" bestFit="1" customWidth="1"/>
    <col min="3850" max="3851" width="9.109375" style="110"/>
    <col min="3852" max="3852" width="16.44140625" style="110" customWidth="1"/>
    <col min="3853" max="3853" width="9.109375" style="110"/>
    <col min="3854" max="3854" width="12.88671875" style="110" bestFit="1" customWidth="1"/>
    <col min="3855" max="4096" width="9.109375" style="110"/>
    <col min="4097" max="4097" width="1.6640625" style="110" customWidth="1"/>
    <col min="4098" max="4098" width="24.6640625" style="110" customWidth="1"/>
    <col min="4099" max="4103" width="16.33203125" style="110" customWidth="1"/>
    <col min="4104" max="4104" width="2.6640625" style="110" customWidth="1"/>
    <col min="4105" max="4105" width="9.109375" style="110" bestFit="1" customWidth="1"/>
    <col min="4106" max="4107" width="9.109375" style="110"/>
    <col min="4108" max="4108" width="16.44140625" style="110" customWidth="1"/>
    <col min="4109" max="4109" width="9.109375" style="110"/>
    <col min="4110" max="4110" width="12.88671875" style="110" bestFit="1" customWidth="1"/>
    <col min="4111" max="4352" width="9.109375" style="110"/>
    <col min="4353" max="4353" width="1.6640625" style="110" customWidth="1"/>
    <col min="4354" max="4354" width="24.6640625" style="110" customWidth="1"/>
    <col min="4355" max="4359" width="16.33203125" style="110" customWidth="1"/>
    <col min="4360" max="4360" width="2.6640625" style="110" customWidth="1"/>
    <col min="4361" max="4361" width="9.109375" style="110" bestFit="1" customWidth="1"/>
    <col min="4362" max="4363" width="9.109375" style="110"/>
    <col min="4364" max="4364" width="16.44140625" style="110" customWidth="1"/>
    <col min="4365" max="4365" width="9.109375" style="110"/>
    <col min="4366" max="4366" width="12.88671875" style="110" bestFit="1" customWidth="1"/>
    <col min="4367" max="4608" width="9.109375" style="110"/>
    <col min="4609" max="4609" width="1.6640625" style="110" customWidth="1"/>
    <col min="4610" max="4610" width="24.6640625" style="110" customWidth="1"/>
    <col min="4611" max="4615" width="16.33203125" style="110" customWidth="1"/>
    <col min="4616" max="4616" width="2.6640625" style="110" customWidth="1"/>
    <col min="4617" max="4617" width="9.109375" style="110" bestFit="1" customWidth="1"/>
    <col min="4618" max="4619" width="9.109375" style="110"/>
    <col min="4620" max="4620" width="16.44140625" style="110" customWidth="1"/>
    <col min="4621" max="4621" width="9.109375" style="110"/>
    <col min="4622" max="4622" width="12.88671875" style="110" bestFit="1" customWidth="1"/>
    <col min="4623" max="4864" width="9.109375" style="110"/>
    <col min="4865" max="4865" width="1.6640625" style="110" customWidth="1"/>
    <col min="4866" max="4866" width="24.6640625" style="110" customWidth="1"/>
    <col min="4867" max="4871" width="16.33203125" style="110" customWidth="1"/>
    <col min="4872" max="4872" width="2.6640625" style="110" customWidth="1"/>
    <col min="4873" max="4873" width="9.109375" style="110" bestFit="1" customWidth="1"/>
    <col min="4874" max="4875" width="9.109375" style="110"/>
    <col min="4876" max="4876" width="16.44140625" style="110" customWidth="1"/>
    <col min="4877" max="4877" width="9.109375" style="110"/>
    <col min="4878" max="4878" width="12.88671875" style="110" bestFit="1" customWidth="1"/>
    <col min="4879" max="5120" width="9.109375" style="110"/>
    <col min="5121" max="5121" width="1.6640625" style="110" customWidth="1"/>
    <col min="5122" max="5122" width="24.6640625" style="110" customWidth="1"/>
    <col min="5123" max="5127" width="16.33203125" style="110" customWidth="1"/>
    <col min="5128" max="5128" width="2.6640625" style="110" customWidth="1"/>
    <col min="5129" max="5129" width="9.109375" style="110" bestFit="1" customWidth="1"/>
    <col min="5130" max="5131" width="9.109375" style="110"/>
    <col min="5132" max="5132" width="16.44140625" style="110" customWidth="1"/>
    <col min="5133" max="5133" width="9.109375" style="110"/>
    <col min="5134" max="5134" width="12.88671875" style="110" bestFit="1" customWidth="1"/>
    <col min="5135" max="5376" width="9.109375" style="110"/>
    <col min="5377" max="5377" width="1.6640625" style="110" customWidth="1"/>
    <col min="5378" max="5378" width="24.6640625" style="110" customWidth="1"/>
    <col min="5379" max="5383" width="16.33203125" style="110" customWidth="1"/>
    <col min="5384" max="5384" width="2.6640625" style="110" customWidth="1"/>
    <col min="5385" max="5385" width="9.109375" style="110" bestFit="1" customWidth="1"/>
    <col min="5386" max="5387" width="9.109375" style="110"/>
    <col min="5388" max="5388" width="16.44140625" style="110" customWidth="1"/>
    <col min="5389" max="5389" width="9.109375" style="110"/>
    <col min="5390" max="5390" width="12.88671875" style="110" bestFit="1" customWidth="1"/>
    <col min="5391" max="5632" width="9.109375" style="110"/>
    <col min="5633" max="5633" width="1.6640625" style="110" customWidth="1"/>
    <col min="5634" max="5634" width="24.6640625" style="110" customWidth="1"/>
    <col min="5635" max="5639" width="16.33203125" style="110" customWidth="1"/>
    <col min="5640" max="5640" width="2.6640625" style="110" customWidth="1"/>
    <col min="5641" max="5641" width="9.109375" style="110" bestFit="1" customWidth="1"/>
    <col min="5642" max="5643" width="9.109375" style="110"/>
    <col min="5644" max="5644" width="16.44140625" style="110" customWidth="1"/>
    <col min="5645" max="5645" width="9.109375" style="110"/>
    <col min="5646" max="5646" width="12.88671875" style="110" bestFit="1" customWidth="1"/>
    <col min="5647" max="5888" width="9.109375" style="110"/>
    <col min="5889" max="5889" width="1.6640625" style="110" customWidth="1"/>
    <col min="5890" max="5890" width="24.6640625" style="110" customWidth="1"/>
    <col min="5891" max="5895" width="16.33203125" style="110" customWidth="1"/>
    <col min="5896" max="5896" width="2.6640625" style="110" customWidth="1"/>
    <col min="5897" max="5897" width="9.109375" style="110" bestFit="1" customWidth="1"/>
    <col min="5898" max="5899" width="9.109375" style="110"/>
    <col min="5900" max="5900" width="16.44140625" style="110" customWidth="1"/>
    <col min="5901" max="5901" width="9.109375" style="110"/>
    <col min="5902" max="5902" width="12.88671875" style="110" bestFit="1" customWidth="1"/>
    <col min="5903" max="6144" width="9.109375" style="110"/>
    <col min="6145" max="6145" width="1.6640625" style="110" customWidth="1"/>
    <col min="6146" max="6146" width="24.6640625" style="110" customWidth="1"/>
    <col min="6147" max="6151" width="16.33203125" style="110" customWidth="1"/>
    <col min="6152" max="6152" width="2.6640625" style="110" customWidth="1"/>
    <col min="6153" max="6153" width="9.109375" style="110" bestFit="1" customWidth="1"/>
    <col min="6154" max="6155" width="9.109375" style="110"/>
    <col min="6156" max="6156" width="16.44140625" style="110" customWidth="1"/>
    <col min="6157" max="6157" width="9.109375" style="110"/>
    <col min="6158" max="6158" width="12.88671875" style="110" bestFit="1" customWidth="1"/>
    <col min="6159" max="6400" width="9.109375" style="110"/>
    <col min="6401" max="6401" width="1.6640625" style="110" customWidth="1"/>
    <col min="6402" max="6402" width="24.6640625" style="110" customWidth="1"/>
    <col min="6403" max="6407" width="16.33203125" style="110" customWidth="1"/>
    <col min="6408" max="6408" width="2.6640625" style="110" customWidth="1"/>
    <col min="6409" max="6409" width="9.109375" style="110" bestFit="1" customWidth="1"/>
    <col min="6410" max="6411" width="9.109375" style="110"/>
    <col min="6412" max="6412" width="16.44140625" style="110" customWidth="1"/>
    <col min="6413" max="6413" width="9.109375" style="110"/>
    <col min="6414" max="6414" width="12.88671875" style="110" bestFit="1" customWidth="1"/>
    <col min="6415" max="6656" width="9.109375" style="110"/>
    <col min="6657" max="6657" width="1.6640625" style="110" customWidth="1"/>
    <col min="6658" max="6658" width="24.6640625" style="110" customWidth="1"/>
    <col min="6659" max="6663" width="16.33203125" style="110" customWidth="1"/>
    <col min="6664" max="6664" width="2.6640625" style="110" customWidth="1"/>
    <col min="6665" max="6665" width="9.109375" style="110" bestFit="1" customWidth="1"/>
    <col min="6666" max="6667" width="9.109375" style="110"/>
    <col min="6668" max="6668" width="16.44140625" style="110" customWidth="1"/>
    <col min="6669" max="6669" width="9.109375" style="110"/>
    <col min="6670" max="6670" width="12.88671875" style="110" bestFit="1" customWidth="1"/>
    <col min="6671" max="6912" width="9.109375" style="110"/>
    <col min="6913" max="6913" width="1.6640625" style="110" customWidth="1"/>
    <col min="6914" max="6914" width="24.6640625" style="110" customWidth="1"/>
    <col min="6915" max="6919" width="16.33203125" style="110" customWidth="1"/>
    <col min="6920" max="6920" width="2.6640625" style="110" customWidth="1"/>
    <col min="6921" max="6921" width="9.109375" style="110" bestFit="1" customWidth="1"/>
    <col min="6922" max="6923" width="9.109375" style="110"/>
    <col min="6924" max="6924" width="16.44140625" style="110" customWidth="1"/>
    <col min="6925" max="6925" width="9.109375" style="110"/>
    <col min="6926" max="6926" width="12.88671875" style="110" bestFit="1" customWidth="1"/>
    <col min="6927" max="7168" width="9.109375" style="110"/>
    <col min="7169" max="7169" width="1.6640625" style="110" customWidth="1"/>
    <col min="7170" max="7170" width="24.6640625" style="110" customWidth="1"/>
    <col min="7171" max="7175" width="16.33203125" style="110" customWidth="1"/>
    <col min="7176" max="7176" width="2.6640625" style="110" customWidth="1"/>
    <col min="7177" max="7177" width="9.109375" style="110" bestFit="1" customWidth="1"/>
    <col min="7178" max="7179" width="9.109375" style="110"/>
    <col min="7180" max="7180" width="16.44140625" style="110" customWidth="1"/>
    <col min="7181" max="7181" width="9.109375" style="110"/>
    <col min="7182" max="7182" width="12.88671875" style="110" bestFit="1" customWidth="1"/>
    <col min="7183" max="7424" width="9.109375" style="110"/>
    <col min="7425" max="7425" width="1.6640625" style="110" customWidth="1"/>
    <col min="7426" max="7426" width="24.6640625" style="110" customWidth="1"/>
    <col min="7427" max="7431" width="16.33203125" style="110" customWidth="1"/>
    <col min="7432" max="7432" width="2.6640625" style="110" customWidth="1"/>
    <col min="7433" max="7433" width="9.109375" style="110" bestFit="1" customWidth="1"/>
    <col min="7434" max="7435" width="9.109375" style="110"/>
    <col min="7436" max="7436" width="16.44140625" style="110" customWidth="1"/>
    <col min="7437" max="7437" width="9.109375" style="110"/>
    <col min="7438" max="7438" width="12.88671875" style="110" bestFit="1" customWidth="1"/>
    <col min="7439" max="7680" width="9.109375" style="110"/>
    <col min="7681" max="7681" width="1.6640625" style="110" customWidth="1"/>
    <col min="7682" max="7682" width="24.6640625" style="110" customWidth="1"/>
    <col min="7683" max="7687" width="16.33203125" style="110" customWidth="1"/>
    <col min="7688" max="7688" width="2.6640625" style="110" customWidth="1"/>
    <col min="7689" max="7689" width="9.109375" style="110" bestFit="1" customWidth="1"/>
    <col min="7690" max="7691" width="9.109375" style="110"/>
    <col min="7692" max="7692" width="16.44140625" style="110" customWidth="1"/>
    <col min="7693" max="7693" width="9.109375" style="110"/>
    <col min="7694" max="7694" width="12.88671875" style="110" bestFit="1" customWidth="1"/>
    <col min="7695" max="7936" width="9.109375" style="110"/>
    <col min="7937" max="7937" width="1.6640625" style="110" customWidth="1"/>
    <col min="7938" max="7938" width="24.6640625" style="110" customWidth="1"/>
    <col min="7939" max="7943" width="16.33203125" style="110" customWidth="1"/>
    <col min="7944" max="7944" width="2.6640625" style="110" customWidth="1"/>
    <col min="7945" max="7945" width="9.109375" style="110" bestFit="1" customWidth="1"/>
    <col min="7946" max="7947" width="9.109375" style="110"/>
    <col min="7948" max="7948" width="16.44140625" style="110" customWidth="1"/>
    <col min="7949" max="7949" width="9.109375" style="110"/>
    <col min="7950" max="7950" width="12.88671875" style="110" bestFit="1" customWidth="1"/>
    <col min="7951" max="8192" width="9.109375" style="110"/>
    <col min="8193" max="8193" width="1.6640625" style="110" customWidth="1"/>
    <col min="8194" max="8194" width="24.6640625" style="110" customWidth="1"/>
    <col min="8195" max="8199" width="16.33203125" style="110" customWidth="1"/>
    <col min="8200" max="8200" width="2.6640625" style="110" customWidth="1"/>
    <col min="8201" max="8201" width="9.109375" style="110" bestFit="1" customWidth="1"/>
    <col min="8202" max="8203" width="9.109375" style="110"/>
    <col min="8204" max="8204" width="16.44140625" style="110" customWidth="1"/>
    <col min="8205" max="8205" width="9.109375" style="110"/>
    <col min="8206" max="8206" width="12.88671875" style="110" bestFit="1" customWidth="1"/>
    <col min="8207" max="8448" width="9.109375" style="110"/>
    <col min="8449" max="8449" width="1.6640625" style="110" customWidth="1"/>
    <col min="8450" max="8450" width="24.6640625" style="110" customWidth="1"/>
    <col min="8451" max="8455" width="16.33203125" style="110" customWidth="1"/>
    <col min="8456" max="8456" width="2.6640625" style="110" customWidth="1"/>
    <col min="8457" max="8457" width="9.109375" style="110" bestFit="1" customWidth="1"/>
    <col min="8458" max="8459" width="9.109375" style="110"/>
    <col min="8460" max="8460" width="16.44140625" style="110" customWidth="1"/>
    <col min="8461" max="8461" width="9.109375" style="110"/>
    <col min="8462" max="8462" width="12.88671875" style="110" bestFit="1" customWidth="1"/>
    <col min="8463" max="8704" width="9.109375" style="110"/>
    <col min="8705" max="8705" width="1.6640625" style="110" customWidth="1"/>
    <col min="8706" max="8706" width="24.6640625" style="110" customWidth="1"/>
    <col min="8707" max="8711" width="16.33203125" style="110" customWidth="1"/>
    <col min="8712" max="8712" width="2.6640625" style="110" customWidth="1"/>
    <col min="8713" max="8713" width="9.109375" style="110" bestFit="1" customWidth="1"/>
    <col min="8714" max="8715" width="9.109375" style="110"/>
    <col min="8716" max="8716" width="16.44140625" style="110" customWidth="1"/>
    <col min="8717" max="8717" width="9.109375" style="110"/>
    <col min="8718" max="8718" width="12.88671875" style="110" bestFit="1" customWidth="1"/>
    <col min="8719" max="8960" width="9.109375" style="110"/>
    <col min="8961" max="8961" width="1.6640625" style="110" customWidth="1"/>
    <col min="8962" max="8962" width="24.6640625" style="110" customWidth="1"/>
    <col min="8963" max="8967" width="16.33203125" style="110" customWidth="1"/>
    <col min="8968" max="8968" width="2.6640625" style="110" customWidth="1"/>
    <col min="8969" max="8969" width="9.109375" style="110" bestFit="1" customWidth="1"/>
    <col min="8970" max="8971" width="9.109375" style="110"/>
    <col min="8972" max="8972" width="16.44140625" style="110" customWidth="1"/>
    <col min="8973" max="8973" width="9.109375" style="110"/>
    <col min="8974" max="8974" width="12.88671875" style="110" bestFit="1" customWidth="1"/>
    <col min="8975" max="9216" width="9.109375" style="110"/>
    <col min="9217" max="9217" width="1.6640625" style="110" customWidth="1"/>
    <col min="9218" max="9218" width="24.6640625" style="110" customWidth="1"/>
    <col min="9219" max="9223" width="16.33203125" style="110" customWidth="1"/>
    <col min="9224" max="9224" width="2.6640625" style="110" customWidth="1"/>
    <col min="9225" max="9225" width="9.109375" style="110" bestFit="1" customWidth="1"/>
    <col min="9226" max="9227" width="9.109375" style="110"/>
    <col min="9228" max="9228" width="16.44140625" style="110" customWidth="1"/>
    <col min="9229" max="9229" width="9.109375" style="110"/>
    <col min="9230" max="9230" width="12.88671875" style="110" bestFit="1" customWidth="1"/>
    <col min="9231" max="9472" width="9.109375" style="110"/>
    <col min="9473" max="9473" width="1.6640625" style="110" customWidth="1"/>
    <col min="9474" max="9474" width="24.6640625" style="110" customWidth="1"/>
    <col min="9475" max="9479" width="16.33203125" style="110" customWidth="1"/>
    <col min="9480" max="9480" width="2.6640625" style="110" customWidth="1"/>
    <col min="9481" max="9481" width="9.109375" style="110" bestFit="1" customWidth="1"/>
    <col min="9482" max="9483" width="9.109375" style="110"/>
    <col min="9484" max="9484" width="16.44140625" style="110" customWidth="1"/>
    <col min="9485" max="9485" width="9.109375" style="110"/>
    <col min="9486" max="9486" width="12.88671875" style="110" bestFit="1" customWidth="1"/>
    <col min="9487" max="9728" width="9.109375" style="110"/>
    <col min="9729" max="9729" width="1.6640625" style="110" customWidth="1"/>
    <col min="9730" max="9730" width="24.6640625" style="110" customWidth="1"/>
    <col min="9731" max="9735" width="16.33203125" style="110" customWidth="1"/>
    <col min="9736" max="9736" width="2.6640625" style="110" customWidth="1"/>
    <col min="9737" max="9737" width="9.109375" style="110" bestFit="1" customWidth="1"/>
    <col min="9738" max="9739" width="9.109375" style="110"/>
    <col min="9740" max="9740" width="16.44140625" style="110" customWidth="1"/>
    <col min="9741" max="9741" width="9.109375" style="110"/>
    <col min="9742" max="9742" width="12.88671875" style="110" bestFit="1" customWidth="1"/>
    <col min="9743" max="9984" width="9.109375" style="110"/>
    <col min="9985" max="9985" width="1.6640625" style="110" customWidth="1"/>
    <col min="9986" max="9986" width="24.6640625" style="110" customWidth="1"/>
    <col min="9987" max="9991" width="16.33203125" style="110" customWidth="1"/>
    <col min="9992" max="9992" width="2.6640625" style="110" customWidth="1"/>
    <col min="9993" max="9993" width="9.109375" style="110" bestFit="1" customWidth="1"/>
    <col min="9994" max="9995" width="9.109375" style="110"/>
    <col min="9996" max="9996" width="16.44140625" style="110" customWidth="1"/>
    <col min="9997" max="9997" width="9.109375" style="110"/>
    <col min="9998" max="9998" width="12.88671875" style="110" bestFit="1" customWidth="1"/>
    <col min="9999" max="10240" width="9.109375" style="110"/>
    <col min="10241" max="10241" width="1.6640625" style="110" customWidth="1"/>
    <col min="10242" max="10242" width="24.6640625" style="110" customWidth="1"/>
    <col min="10243" max="10247" width="16.33203125" style="110" customWidth="1"/>
    <col min="10248" max="10248" width="2.6640625" style="110" customWidth="1"/>
    <col min="10249" max="10249" width="9.109375" style="110" bestFit="1" customWidth="1"/>
    <col min="10250" max="10251" width="9.109375" style="110"/>
    <col min="10252" max="10252" width="16.44140625" style="110" customWidth="1"/>
    <col min="10253" max="10253" width="9.109375" style="110"/>
    <col min="10254" max="10254" width="12.88671875" style="110" bestFit="1" customWidth="1"/>
    <col min="10255" max="10496" width="9.109375" style="110"/>
    <col min="10497" max="10497" width="1.6640625" style="110" customWidth="1"/>
    <col min="10498" max="10498" width="24.6640625" style="110" customWidth="1"/>
    <col min="10499" max="10503" width="16.33203125" style="110" customWidth="1"/>
    <col min="10504" max="10504" width="2.6640625" style="110" customWidth="1"/>
    <col min="10505" max="10505" width="9.109375" style="110" bestFit="1" customWidth="1"/>
    <col min="10506" max="10507" width="9.109375" style="110"/>
    <col min="10508" max="10508" width="16.44140625" style="110" customWidth="1"/>
    <col min="10509" max="10509" width="9.109375" style="110"/>
    <col min="10510" max="10510" width="12.88671875" style="110" bestFit="1" customWidth="1"/>
    <col min="10511" max="10752" width="9.109375" style="110"/>
    <col min="10753" max="10753" width="1.6640625" style="110" customWidth="1"/>
    <col min="10754" max="10754" width="24.6640625" style="110" customWidth="1"/>
    <col min="10755" max="10759" width="16.33203125" style="110" customWidth="1"/>
    <col min="10760" max="10760" width="2.6640625" style="110" customWidth="1"/>
    <col min="10761" max="10761" width="9.109375" style="110" bestFit="1" customWidth="1"/>
    <col min="10762" max="10763" width="9.109375" style="110"/>
    <col min="10764" max="10764" width="16.44140625" style="110" customWidth="1"/>
    <col min="10765" max="10765" width="9.109375" style="110"/>
    <col min="10766" max="10766" width="12.88671875" style="110" bestFit="1" customWidth="1"/>
    <col min="10767" max="11008" width="9.109375" style="110"/>
    <col min="11009" max="11009" width="1.6640625" style="110" customWidth="1"/>
    <col min="11010" max="11010" width="24.6640625" style="110" customWidth="1"/>
    <col min="11011" max="11015" width="16.33203125" style="110" customWidth="1"/>
    <col min="11016" max="11016" width="2.6640625" style="110" customWidth="1"/>
    <col min="11017" max="11017" width="9.109375" style="110" bestFit="1" customWidth="1"/>
    <col min="11018" max="11019" width="9.109375" style="110"/>
    <col min="11020" max="11020" width="16.44140625" style="110" customWidth="1"/>
    <col min="11021" max="11021" width="9.109375" style="110"/>
    <col min="11022" max="11022" width="12.88671875" style="110" bestFit="1" customWidth="1"/>
    <col min="11023" max="11264" width="9.109375" style="110"/>
    <col min="11265" max="11265" width="1.6640625" style="110" customWidth="1"/>
    <col min="11266" max="11266" width="24.6640625" style="110" customWidth="1"/>
    <col min="11267" max="11271" width="16.33203125" style="110" customWidth="1"/>
    <col min="11272" max="11272" width="2.6640625" style="110" customWidth="1"/>
    <col min="11273" max="11273" width="9.109375" style="110" bestFit="1" customWidth="1"/>
    <col min="11274" max="11275" width="9.109375" style="110"/>
    <col min="11276" max="11276" width="16.44140625" style="110" customWidth="1"/>
    <col min="11277" max="11277" width="9.109375" style="110"/>
    <col min="11278" max="11278" width="12.88671875" style="110" bestFit="1" customWidth="1"/>
    <col min="11279" max="11520" width="9.109375" style="110"/>
    <col min="11521" max="11521" width="1.6640625" style="110" customWidth="1"/>
    <col min="11522" max="11522" width="24.6640625" style="110" customWidth="1"/>
    <col min="11523" max="11527" width="16.33203125" style="110" customWidth="1"/>
    <col min="11528" max="11528" width="2.6640625" style="110" customWidth="1"/>
    <col min="11529" max="11529" width="9.109375" style="110" bestFit="1" customWidth="1"/>
    <col min="11530" max="11531" width="9.109375" style="110"/>
    <col min="11532" max="11532" width="16.44140625" style="110" customWidth="1"/>
    <col min="11533" max="11533" width="9.109375" style="110"/>
    <col min="11534" max="11534" width="12.88671875" style="110" bestFit="1" customWidth="1"/>
    <col min="11535" max="11776" width="9.109375" style="110"/>
    <col min="11777" max="11777" width="1.6640625" style="110" customWidth="1"/>
    <col min="11778" max="11778" width="24.6640625" style="110" customWidth="1"/>
    <col min="11779" max="11783" width="16.33203125" style="110" customWidth="1"/>
    <col min="11784" max="11784" width="2.6640625" style="110" customWidth="1"/>
    <col min="11785" max="11785" width="9.109375" style="110" bestFit="1" customWidth="1"/>
    <col min="11786" max="11787" width="9.109375" style="110"/>
    <col min="11788" max="11788" width="16.44140625" style="110" customWidth="1"/>
    <col min="11789" max="11789" width="9.109375" style="110"/>
    <col min="11790" max="11790" width="12.88671875" style="110" bestFit="1" customWidth="1"/>
    <col min="11791" max="12032" width="9.109375" style="110"/>
    <col min="12033" max="12033" width="1.6640625" style="110" customWidth="1"/>
    <col min="12034" max="12034" width="24.6640625" style="110" customWidth="1"/>
    <col min="12035" max="12039" width="16.33203125" style="110" customWidth="1"/>
    <col min="12040" max="12040" width="2.6640625" style="110" customWidth="1"/>
    <col min="12041" max="12041" width="9.109375" style="110" bestFit="1" customWidth="1"/>
    <col min="12042" max="12043" width="9.109375" style="110"/>
    <col min="12044" max="12044" width="16.44140625" style="110" customWidth="1"/>
    <col min="12045" max="12045" width="9.109375" style="110"/>
    <col min="12046" max="12046" width="12.88671875" style="110" bestFit="1" customWidth="1"/>
    <col min="12047" max="12288" width="9.109375" style="110"/>
    <col min="12289" max="12289" width="1.6640625" style="110" customWidth="1"/>
    <col min="12290" max="12290" width="24.6640625" style="110" customWidth="1"/>
    <col min="12291" max="12295" width="16.33203125" style="110" customWidth="1"/>
    <col min="12296" max="12296" width="2.6640625" style="110" customWidth="1"/>
    <col min="12297" max="12297" width="9.109375" style="110" bestFit="1" customWidth="1"/>
    <col min="12298" max="12299" width="9.109375" style="110"/>
    <col min="12300" max="12300" width="16.44140625" style="110" customWidth="1"/>
    <col min="12301" max="12301" width="9.109375" style="110"/>
    <col min="12302" max="12302" width="12.88671875" style="110" bestFit="1" customWidth="1"/>
    <col min="12303" max="12544" width="9.109375" style="110"/>
    <col min="12545" max="12545" width="1.6640625" style="110" customWidth="1"/>
    <col min="12546" max="12546" width="24.6640625" style="110" customWidth="1"/>
    <col min="12547" max="12551" width="16.33203125" style="110" customWidth="1"/>
    <col min="12552" max="12552" width="2.6640625" style="110" customWidth="1"/>
    <col min="12553" max="12553" width="9.109375" style="110" bestFit="1" customWidth="1"/>
    <col min="12554" max="12555" width="9.109375" style="110"/>
    <col min="12556" max="12556" width="16.44140625" style="110" customWidth="1"/>
    <col min="12557" max="12557" width="9.109375" style="110"/>
    <col min="12558" max="12558" width="12.88671875" style="110" bestFit="1" customWidth="1"/>
    <col min="12559" max="12800" width="9.109375" style="110"/>
    <col min="12801" max="12801" width="1.6640625" style="110" customWidth="1"/>
    <col min="12802" max="12802" width="24.6640625" style="110" customWidth="1"/>
    <col min="12803" max="12807" width="16.33203125" style="110" customWidth="1"/>
    <col min="12808" max="12808" width="2.6640625" style="110" customWidth="1"/>
    <col min="12809" max="12809" width="9.109375" style="110" bestFit="1" customWidth="1"/>
    <col min="12810" max="12811" width="9.109375" style="110"/>
    <col min="12812" max="12812" width="16.44140625" style="110" customWidth="1"/>
    <col min="12813" max="12813" width="9.109375" style="110"/>
    <col min="12814" max="12814" width="12.88671875" style="110" bestFit="1" customWidth="1"/>
    <col min="12815" max="13056" width="9.109375" style="110"/>
    <col min="13057" max="13057" width="1.6640625" style="110" customWidth="1"/>
    <col min="13058" max="13058" width="24.6640625" style="110" customWidth="1"/>
    <col min="13059" max="13063" width="16.33203125" style="110" customWidth="1"/>
    <col min="13064" max="13064" width="2.6640625" style="110" customWidth="1"/>
    <col min="13065" max="13065" width="9.109375" style="110" bestFit="1" customWidth="1"/>
    <col min="13066" max="13067" width="9.109375" style="110"/>
    <col min="13068" max="13068" width="16.44140625" style="110" customWidth="1"/>
    <col min="13069" max="13069" width="9.109375" style="110"/>
    <col min="13070" max="13070" width="12.88671875" style="110" bestFit="1" customWidth="1"/>
    <col min="13071" max="13312" width="9.109375" style="110"/>
    <col min="13313" max="13313" width="1.6640625" style="110" customWidth="1"/>
    <col min="13314" max="13314" width="24.6640625" style="110" customWidth="1"/>
    <col min="13315" max="13319" width="16.33203125" style="110" customWidth="1"/>
    <col min="13320" max="13320" width="2.6640625" style="110" customWidth="1"/>
    <col min="13321" max="13321" width="9.109375" style="110" bestFit="1" customWidth="1"/>
    <col min="13322" max="13323" width="9.109375" style="110"/>
    <col min="13324" max="13324" width="16.44140625" style="110" customWidth="1"/>
    <col min="13325" max="13325" width="9.109375" style="110"/>
    <col min="13326" max="13326" width="12.88671875" style="110" bestFit="1" customWidth="1"/>
    <col min="13327" max="13568" width="9.109375" style="110"/>
    <col min="13569" max="13569" width="1.6640625" style="110" customWidth="1"/>
    <col min="13570" max="13570" width="24.6640625" style="110" customWidth="1"/>
    <col min="13571" max="13575" width="16.33203125" style="110" customWidth="1"/>
    <col min="13576" max="13576" width="2.6640625" style="110" customWidth="1"/>
    <col min="13577" max="13577" width="9.109375" style="110" bestFit="1" customWidth="1"/>
    <col min="13578" max="13579" width="9.109375" style="110"/>
    <col min="13580" max="13580" width="16.44140625" style="110" customWidth="1"/>
    <col min="13581" max="13581" width="9.109375" style="110"/>
    <col min="13582" max="13582" width="12.88671875" style="110" bestFit="1" customWidth="1"/>
    <col min="13583" max="13824" width="9.109375" style="110"/>
    <col min="13825" max="13825" width="1.6640625" style="110" customWidth="1"/>
    <col min="13826" max="13826" width="24.6640625" style="110" customWidth="1"/>
    <col min="13827" max="13831" width="16.33203125" style="110" customWidth="1"/>
    <col min="13832" max="13832" width="2.6640625" style="110" customWidth="1"/>
    <col min="13833" max="13833" width="9.109375" style="110" bestFit="1" customWidth="1"/>
    <col min="13834" max="13835" width="9.109375" style="110"/>
    <col min="13836" max="13836" width="16.44140625" style="110" customWidth="1"/>
    <col min="13837" max="13837" width="9.109375" style="110"/>
    <col min="13838" max="13838" width="12.88671875" style="110" bestFit="1" customWidth="1"/>
    <col min="13839" max="14080" width="9.109375" style="110"/>
    <col min="14081" max="14081" width="1.6640625" style="110" customWidth="1"/>
    <col min="14082" max="14082" width="24.6640625" style="110" customWidth="1"/>
    <col min="14083" max="14087" width="16.33203125" style="110" customWidth="1"/>
    <col min="14088" max="14088" width="2.6640625" style="110" customWidth="1"/>
    <col min="14089" max="14089" width="9.109375" style="110" bestFit="1" customWidth="1"/>
    <col min="14090" max="14091" width="9.109375" style="110"/>
    <col min="14092" max="14092" width="16.44140625" style="110" customWidth="1"/>
    <col min="14093" max="14093" width="9.109375" style="110"/>
    <col min="14094" max="14094" width="12.88671875" style="110" bestFit="1" customWidth="1"/>
    <col min="14095" max="14336" width="9.109375" style="110"/>
    <col min="14337" max="14337" width="1.6640625" style="110" customWidth="1"/>
    <col min="14338" max="14338" width="24.6640625" style="110" customWidth="1"/>
    <col min="14339" max="14343" width="16.33203125" style="110" customWidth="1"/>
    <col min="14344" max="14344" width="2.6640625" style="110" customWidth="1"/>
    <col min="14345" max="14345" width="9.109375" style="110" bestFit="1" customWidth="1"/>
    <col min="14346" max="14347" width="9.109375" style="110"/>
    <col min="14348" max="14348" width="16.44140625" style="110" customWidth="1"/>
    <col min="14349" max="14349" width="9.109375" style="110"/>
    <col min="14350" max="14350" width="12.88671875" style="110" bestFit="1" customWidth="1"/>
    <col min="14351" max="14592" width="9.109375" style="110"/>
    <col min="14593" max="14593" width="1.6640625" style="110" customWidth="1"/>
    <col min="14594" max="14594" width="24.6640625" style="110" customWidth="1"/>
    <col min="14595" max="14599" width="16.33203125" style="110" customWidth="1"/>
    <col min="14600" max="14600" width="2.6640625" style="110" customWidth="1"/>
    <col min="14601" max="14601" width="9.109375" style="110" bestFit="1" customWidth="1"/>
    <col min="14602" max="14603" width="9.109375" style="110"/>
    <col min="14604" max="14604" width="16.44140625" style="110" customWidth="1"/>
    <col min="14605" max="14605" width="9.109375" style="110"/>
    <col min="14606" max="14606" width="12.88671875" style="110" bestFit="1" customWidth="1"/>
    <col min="14607" max="14848" width="9.109375" style="110"/>
    <col min="14849" max="14849" width="1.6640625" style="110" customWidth="1"/>
    <col min="14850" max="14850" width="24.6640625" style="110" customWidth="1"/>
    <col min="14851" max="14855" width="16.33203125" style="110" customWidth="1"/>
    <col min="14856" max="14856" width="2.6640625" style="110" customWidth="1"/>
    <col min="14857" max="14857" width="9.109375" style="110" bestFit="1" customWidth="1"/>
    <col min="14858" max="14859" width="9.109375" style="110"/>
    <col min="14860" max="14860" width="16.44140625" style="110" customWidth="1"/>
    <col min="14861" max="14861" width="9.109375" style="110"/>
    <col min="14862" max="14862" width="12.88671875" style="110" bestFit="1" customWidth="1"/>
    <col min="14863" max="15104" width="9.109375" style="110"/>
    <col min="15105" max="15105" width="1.6640625" style="110" customWidth="1"/>
    <col min="15106" max="15106" width="24.6640625" style="110" customWidth="1"/>
    <col min="15107" max="15111" width="16.33203125" style="110" customWidth="1"/>
    <col min="15112" max="15112" width="2.6640625" style="110" customWidth="1"/>
    <col min="15113" max="15113" width="9.109375" style="110" bestFit="1" customWidth="1"/>
    <col min="15114" max="15115" width="9.109375" style="110"/>
    <col min="15116" max="15116" width="16.44140625" style="110" customWidth="1"/>
    <col min="15117" max="15117" width="9.109375" style="110"/>
    <col min="15118" max="15118" width="12.88671875" style="110" bestFit="1" customWidth="1"/>
    <col min="15119" max="15360" width="9.109375" style="110"/>
    <col min="15361" max="15361" width="1.6640625" style="110" customWidth="1"/>
    <col min="15362" max="15362" width="24.6640625" style="110" customWidth="1"/>
    <col min="15363" max="15367" width="16.33203125" style="110" customWidth="1"/>
    <col min="15368" max="15368" width="2.6640625" style="110" customWidth="1"/>
    <col min="15369" max="15369" width="9.109375" style="110" bestFit="1" customWidth="1"/>
    <col min="15370" max="15371" width="9.109375" style="110"/>
    <col min="15372" max="15372" width="16.44140625" style="110" customWidth="1"/>
    <col min="15373" max="15373" width="9.109375" style="110"/>
    <col min="15374" max="15374" width="12.88671875" style="110" bestFit="1" customWidth="1"/>
    <col min="15375" max="15616" width="9.109375" style="110"/>
    <col min="15617" max="15617" width="1.6640625" style="110" customWidth="1"/>
    <col min="15618" max="15618" width="24.6640625" style="110" customWidth="1"/>
    <col min="15619" max="15623" width="16.33203125" style="110" customWidth="1"/>
    <col min="15624" max="15624" width="2.6640625" style="110" customWidth="1"/>
    <col min="15625" max="15625" width="9.109375" style="110" bestFit="1" customWidth="1"/>
    <col min="15626" max="15627" width="9.109375" style="110"/>
    <col min="15628" max="15628" width="16.44140625" style="110" customWidth="1"/>
    <col min="15629" max="15629" width="9.109375" style="110"/>
    <col min="15630" max="15630" width="12.88671875" style="110" bestFit="1" customWidth="1"/>
    <col min="15631" max="15872" width="9.109375" style="110"/>
    <col min="15873" max="15873" width="1.6640625" style="110" customWidth="1"/>
    <col min="15874" max="15874" width="24.6640625" style="110" customWidth="1"/>
    <col min="15875" max="15879" width="16.33203125" style="110" customWidth="1"/>
    <col min="15880" max="15880" width="2.6640625" style="110" customWidth="1"/>
    <col min="15881" max="15881" width="9.109375" style="110" bestFit="1" customWidth="1"/>
    <col min="15882" max="15883" width="9.109375" style="110"/>
    <col min="15884" max="15884" width="16.44140625" style="110" customWidth="1"/>
    <col min="15885" max="15885" width="9.109375" style="110"/>
    <col min="15886" max="15886" width="12.88671875" style="110" bestFit="1" customWidth="1"/>
    <col min="15887" max="16128" width="9.109375" style="110"/>
    <col min="16129" max="16129" width="1.6640625" style="110" customWidth="1"/>
    <col min="16130" max="16130" width="24.6640625" style="110" customWidth="1"/>
    <col min="16131" max="16135" width="16.33203125" style="110" customWidth="1"/>
    <col min="16136" max="16136" width="2.6640625" style="110" customWidth="1"/>
    <col min="16137" max="16137" width="9.109375" style="110" bestFit="1" customWidth="1"/>
    <col min="16138" max="16139" width="9.109375" style="110"/>
    <col min="16140" max="16140" width="16.44140625" style="110" customWidth="1"/>
    <col min="16141" max="16141" width="9.109375" style="110"/>
    <col min="16142" max="16142" width="12.88671875" style="110" bestFit="1" customWidth="1"/>
    <col min="16143" max="16384" width="9.109375" style="110"/>
  </cols>
  <sheetData>
    <row r="1" spans="1:74" s="108" customFormat="1" ht="21.75" customHeight="1">
      <c r="A1" s="900" t="s">
        <v>161</v>
      </c>
      <c r="B1" s="900"/>
      <c r="C1" s="900"/>
      <c r="D1" s="900"/>
      <c r="E1" s="900"/>
      <c r="F1" s="900"/>
      <c r="G1" s="900"/>
      <c r="J1" s="109"/>
    </row>
    <row r="2" spans="1:74" ht="8.25" customHeight="1">
      <c r="A2" s="151"/>
      <c r="B2" s="151"/>
      <c r="C2" s="151"/>
      <c r="D2" s="463"/>
      <c r="E2" s="901"/>
      <c r="F2" s="901"/>
      <c r="G2" s="901"/>
    </row>
    <row r="3" spans="1:74" s="108" customFormat="1" ht="15" customHeight="1" thickBot="1">
      <c r="A3" s="152"/>
      <c r="B3" s="464" t="s">
        <v>162</v>
      </c>
      <c r="C3" s="465">
        <f>INPUT!B7</f>
        <v>677</v>
      </c>
      <c r="D3" s="152"/>
      <c r="E3" s="466"/>
      <c r="F3" s="467"/>
      <c r="G3" s="152"/>
      <c r="J3" s="63"/>
    </row>
    <row r="4" spans="1:74" s="108" customFormat="1" ht="15" customHeight="1" thickTop="1" thickBot="1">
      <c r="A4" s="152"/>
      <c r="B4" s="464" t="s">
        <v>12</v>
      </c>
      <c r="C4" s="468">
        <f ca="1">TODAY()</f>
        <v>46232</v>
      </c>
      <c r="D4" s="152"/>
      <c r="E4" s="466"/>
      <c r="F4" s="469"/>
      <c r="G4" s="470"/>
      <c r="J4" s="111"/>
    </row>
    <row r="5" spans="1:74" s="108" customFormat="1" ht="15" customHeight="1" thickTop="1" thickBot="1">
      <c r="A5" s="152"/>
      <c r="B5" s="464" t="s">
        <v>84</v>
      </c>
      <c r="C5" s="471">
        <f>INPUT!B5</f>
        <v>46031</v>
      </c>
      <c r="D5" s="472"/>
      <c r="E5" s="473"/>
      <c r="F5" s="469"/>
      <c r="G5" s="470"/>
      <c r="J5" s="111"/>
    </row>
    <row r="6" spans="1:74" s="108" customFormat="1" ht="15" customHeight="1" thickTop="1" thickBot="1">
      <c r="A6" s="152"/>
      <c r="B6" s="474" t="str">
        <f>IF(INPUT!J3=FALSE,"AAB Application #:","Transfer Document #:")</f>
        <v>Transfer Document #:</v>
      </c>
      <c r="C6" s="475" t="str">
        <f>IFERROR(IF(INPUT!J3, INPUT!B12, INPUT!B16),"")</f>
        <v>2026-0006707</v>
      </c>
      <c r="D6" s="152"/>
      <c r="E6" s="473"/>
      <c r="F6" s="467"/>
      <c r="G6" s="470"/>
      <c r="J6" s="111"/>
    </row>
    <row r="7" spans="1:74" ht="15" customHeight="1" thickTop="1">
      <c r="A7" s="151"/>
      <c r="B7" s="476"/>
      <c r="C7" s="906"/>
      <c r="D7" s="908"/>
      <c r="E7" s="910"/>
      <c r="F7" s="912"/>
      <c r="G7" s="914"/>
      <c r="J7" s="111"/>
    </row>
    <row r="8" spans="1:74" ht="18.600000000000001" thickBot="1">
      <c r="A8" s="151"/>
      <c r="B8" s="477" t="s">
        <v>83</v>
      </c>
      <c r="C8" s="907"/>
      <c r="D8" s="909"/>
      <c r="E8" s="911"/>
      <c r="F8" s="913"/>
      <c r="G8" s="915"/>
      <c r="J8" s="111"/>
      <c r="K8" s="113"/>
      <c r="L8" s="113"/>
      <c r="M8" s="113"/>
      <c r="N8" s="113"/>
      <c r="O8" s="113"/>
      <c r="P8" s="113"/>
      <c r="Q8" s="113"/>
      <c r="R8" s="113"/>
      <c r="S8" s="113"/>
    </row>
    <row r="9" spans="1:74" s="108" customFormat="1" ht="14.25" customHeight="1" thickTop="1">
      <c r="A9" s="152"/>
      <c r="B9" s="478" t="s">
        <v>82</v>
      </c>
      <c r="C9" s="479" t="s">
        <v>163</v>
      </c>
      <c r="D9" s="479" t="s">
        <v>164</v>
      </c>
      <c r="E9" s="479" t="s">
        <v>165</v>
      </c>
      <c r="F9" s="479" t="s">
        <v>166</v>
      </c>
      <c r="G9" s="479" t="s">
        <v>167</v>
      </c>
      <c r="J9" s="111"/>
      <c r="K9" s="114"/>
      <c r="L9" s="114"/>
      <c r="M9" s="115"/>
      <c r="N9" s="116"/>
      <c r="O9" s="114"/>
      <c r="P9" s="114"/>
      <c r="Q9" s="114"/>
      <c r="R9" s="114"/>
      <c r="S9" s="114"/>
      <c r="BA9" s="112"/>
      <c r="BB9" s="112"/>
      <c r="BC9" s="112"/>
      <c r="BD9" s="112"/>
      <c r="BE9" s="112"/>
      <c r="BF9" s="112"/>
      <c r="BG9" s="112"/>
      <c r="BH9" s="112"/>
      <c r="BI9" s="112"/>
      <c r="BJ9" s="112"/>
      <c r="BK9" s="112"/>
      <c r="BL9" s="112"/>
      <c r="BM9" s="112"/>
      <c r="BN9" s="112"/>
      <c r="BO9" s="112"/>
      <c r="BP9" s="112"/>
      <c r="BQ9" s="112"/>
      <c r="BR9" s="112"/>
      <c r="BS9" s="112"/>
      <c r="BT9" s="112"/>
      <c r="BU9" s="112"/>
      <c r="BV9" s="112"/>
    </row>
    <row r="10" spans="1:74" s="108" customFormat="1" ht="15.6">
      <c r="A10" s="152"/>
      <c r="B10" s="718" t="s">
        <v>168</v>
      </c>
      <c r="C10" s="719">
        <f>INPUT!B30</f>
        <v>107350009</v>
      </c>
      <c r="D10" s="720">
        <f>IFERROR(VLOOKUP(1, 'Arranged Comps'!A:U,2,FALSE),"")</f>
        <v>101370038</v>
      </c>
      <c r="E10" s="720">
        <f>IFERROR(VLOOKUP(2, 'Arranged Comps'!A:U,2,FALSE),"")</f>
        <v>115200043</v>
      </c>
      <c r="F10" s="720">
        <f>IFERROR(VLOOKUP(3, 'Arranged Comps'!A:U,2,FALSE),"")</f>
        <v>107350010</v>
      </c>
      <c r="G10" s="720">
        <f>IFERROR(VLOOKUP(4, 'Arranged Comps'!A:U,2,FALSE),"")</f>
        <v>211060012</v>
      </c>
      <c r="J10" s="111"/>
      <c r="K10" s="114"/>
      <c r="L10" s="114"/>
      <c r="M10" s="115"/>
      <c r="N10" s="116"/>
      <c r="O10" s="114"/>
      <c r="P10" s="114"/>
      <c r="Q10" s="114"/>
      <c r="R10" s="114"/>
      <c r="S10" s="114"/>
    </row>
    <row r="11" spans="1:74" s="182" customFormat="1" ht="15.6">
      <c r="A11" s="482"/>
      <c r="B11" s="483" t="s">
        <v>169</v>
      </c>
      <c r="C11" s="739" t="str">
        <f>IF(ISBLANK(INPUT!B31), INPUT!B43, INPUT!B31)</f>
        <v>1215 GRAPHITE DR</v>
      </c>
      <c r="D11" s="485" t="str">
        <f>IFERROR(VLOOKUP(1, 'Arranged Comps'!A:U,14,FALSE),"")</f>
        <v>255 GLIDER CIR</v>
      </c>
      <c r="E11" s="485" t="str">
        <f>IFERROR(VLOOKUP(2, 'Arranged Comps'!A:U,14,FALSE),"")</f>
        <v>127 RADIO RD</v>
      </c>
      <c r="F11" s="485" t="str">
        <f>IFERROR(VLOOKUP(3, 'Arranged Comps'!A:U,14,FALSE),"")</f>
        <v>1220 GRAPHITE DR</v>
      </c>
      <c r="G11" s="485" t="str">
        <f>IFERROR(VLOOKUP(4, 'Arranged Comps'!A:U,14,FALSE),"")</f>
        <v>3403 DURAHART ST</v>
      </c>
      <c r="J11" s="183"/>
      <c r="K11" s="184"/>
      <c r="L11" s="185"/>
      <c r="M11" s="186"/>
      <c r="N11" s="187"/>
      <c r="O11" s="188"/>
      <c r="P11" s="188"/>
      <c r="Q11" s="188"/>
      <c r="R11" s="188"/>
      <c r="S11" s="188"/>
    </row>
    <row r="12" spans="1:74" s="108" customFormat="1" ht="14.25" customHeight="1">
      <c r="A12" s="152"/>
      <c r="B12" s="168" t="s">
        <v>13</v>
      </c>
      <c r="C12" s="486" t="str">
        <f>INPUT!B32</f>
        <v>CORONA</v>
      </c>
      <c r="D12" s="487" t="str">
        <f>IFERROR(VLOOKUP(1, 'Arranged Comps'!A:U,15,FALSE),"")</f>
        <v>CORONA</v>
      </c>
      <c r="E12" s="487" t="str">
        <f>IFERROR(VLOOKUP(2, 'Arranged Comps'!A:U,15,FALSE),"")</f>
        <v>CORONA</v>
      </c>
      <c r="F12" s="487" t="str">
        <f>IFERROR(VLOOKUP(3, 'Arranged Comps'!A:U,15,FALSE),"")</f>
        <v>CORONA</v>
      </c>
      <c r="G12" s="487" t="str">
        <f>IFERROR(VLOOKUP(4, 'Arranged Comps'!A:U,15,FALSE),"")</f>
        <v>RIVERSIDE</v>
      </c>
      <c r="J12" s="117"/>
      <c r="K12" s="140"/>
      <c r="L12" s="142"/>
      <c r="M12" s="143"/>
      <c r="N12" s="141"/>
      <c r="O12" s="114"/>
      <c r="P12" s="114"/>
      <c r="Q12" s="114"/>
      <c r="R12" s="114"/>
      <c r="S12" s="114"/>
    </row>
    <row r="13" spans="1:74" s="108" customFormat="1" ht="14.25" customHeight="1">
      <c r="A13" s="152"/>
      <c r="B13" s="169" t="s">
        <v>23</v>
      </c>
      <c r="C13" s="488" t="str">
        <f>INPUT!B39</f>
        <v>M4</v>
      </c>
      <c r="D13" s="489" t="str">
        <f>IFERROR(VLOOKUP(1, 'Arranged Comps'!A:V,22,FALSE),"")</f>
        <v>M1</v>
      </c>
      <c r="E13" s="489" t="str">
        <f>IFERROR(VLOOKUP(2, 'Arranged Comps'!A:V,22,FALSE),"")</f>
        <v>M1</v>
      </c>
      <c r="F13" s="489" t="str">
        <f>IFERROR(VLOOKUP(3, 'Arranged Comps'!A:V,22,FALSE),"")</f>
        <v>M4</v>
      </c>
      <c r="G13" s="489" t="str">
        <f>IFERROR(VLOOKUP(4, 'Arranged Comps'!A:V,22,FALSE),"")</f>
        <v>M1</v>
      </c>
      <c r="J13" s="117"/>
      <c r="K13" s="140"/>
      <c r="L13" s="142"/>
      <c r="M13" s="143"/>
      <c r="N13" s="141"/>
      <c r="O13" s="114"/>
      <c r="P13" s="114"/>
      <c r="Q13" s="114"/>
      <c r="R13" s="114"/>
      <c r="S13" s="114"/>
    </row>
    <row r="14" spans="1:74" s="108" customFormat="1" ht="14.25" customHeight="1">
      <c r="A14" s="152"/>
      <c r="B14" s="168" t="s">
        <v>80</v>
      </c>
      <c r="C14" s="490">
        <f>INPUT!B10</f>
        <v>46031</v>
      </c>
      <c r="D14" s="491">
        <f>IFERROR(VLOOKUP(1, 'Arranged Comps'!A:U,3,FALSE),"")</f>
        <v>46114</v>
      </c>
      <c r="E14" s="491">
        <f>IFERROR(VLOOKUP(2, 'Arranged Comps'!A:U,3,FALSE),"")</f>
        <v>46021</v>
      </c>
      <c r="F14" s="491">
        <f>IFERROR(VLOOKUP(3, 'Arranged Comps'!A:U,3,FALSE),"")</f>
        <v>45817</v>
      </c>
      <c r="G14" s="491">
        <f>IFERROR(VLOOKUP(4, 'Arranged Comps'!A:U,3,FALSE),"")</f>
        <v>46027</v>
      </c>
      <c r="J14" s="117"/>
      <c r="K14" s="140"/>
      <c r="L14" s="142"/>
      <c r="M14" s="143"/>
      <c r="N14" s="141"/>
      <c r="O14" s="114"/>
      <c r="P14" s="114"/>
      <c r="Q14" s="114"/>
      <c r="R14" s="114"/>
      <c r="S14" s="114"/>
    </row>
    <row r="15" spans="1:74" s="108" customFormat="1" ht="14.25" customHeight="1">
      <c r="A15" s="152"/>
      <c r="B15" s="170" t="s">
        <v>440</v>
      </c>
      <c r="C15" s="492">
        <f>INPUT!B26</f>
        <v>3928960</v>
      </c>
      <c r="D15" s="493">
        <f>IFERROR(VLOOKUP(1, 'Arranged Comps'!A:U,5,FALSE),"")</f>
        <v>5300000</v>
      </c>
      <c r="E15" s="493">
        <f>IFERROR(VLOOKUP(2, 'Arranged Comps'!A:U,5,FALSE),"")</f>
        <v>2675000</v>
      </c>
      <c r="F15" s="493">
        <f>IFERROR(VLOOKUP(3, 'Arranged Comps'!A:U,5,FALSE),"")</f>
        <v>6400000</v>
      </c>
      <c r="G15" s="493">
        <f>IFERROR(VLOOKUP(4, 'Arranged Comps'!A:U,5,FALSE),"")</f>
        <v>1570000</v>
      </c>
      <c r="J15" s="117"/>
      <c r="K15" s="140"/>
      <c r="L15" s="142"/>
      <c r="M15" s="143"/>
      <c r="N15" s="141"/>
      <c r="O15" s="114"/>
      <c r="P15" s="114"/>
      <c r="Q15" s="114"/>
      <c r="R15" s="114"/>
      <c r="S15" s="114"/>
      <c r="BA15" s="118"/>
      <c r="BB15" s="118"/>
      <c r="BC15" s="118"/>
      <c r="BD15" s="118"/>
      <c r="BE15" s="118"/>
      <c r="BF15" s="118"/>
      <c r="BG15" s="118"/>
      <c r="BH15" s="118"/>
      <c r="BI15" s="118"/>
      <c r="BJ15" s="118"/>
      <c r="BK15" s="118"/>
      <c r="BL15" s="118"/>
      <c r="BM15" s="118"/>
      <c r="BN15" s="118"/>
    </row>
    <row r="16" spans="1:74" s="108" customFormat="1" ht="14.25" customHeight="1">
      <c r="A16" s="152"/>
      <c r="B16" s="168" t="s">
        <v>171</v>
      </c>
      <c r="C16" s="494" t="str">
        <f>IF(C15=0,"N/A","Adj")</f>
        <v>Adj</v>
      </c>
      <c r="D16" s="495" t="s">
        <v>172</v>
      </c>
      <c r="E16" s="495" t="s">
        <v>172</v>
      </c>
      <c r="F16" s="495" t="s">
        <v>172</v>
      </c>
      <c r="G16" s="496" t="s">
        <v>172</v>
      </c>
      <c r="J16" s="117"/>
      <c r="K16" s="140"/>
      <c r="L16" s="142"/>
      <c r="M16" s="143"/>
      <c r="N16" s="141"/>
      <c r="O16" s="114"/>
      <c r="P16" s="114"/>
      <c r="Q16" s="114"/>
      <c r="R16" s="114"/>
      <c r="S16" s="114"/>
      <c r="BA16" s="118"/>
      <c r="BB16" s="118"/>
      <c r="BC16" s="118"/>
      <c r="BD16" s="118"/>
      <c r="BE16" s="118"/>
      <c r="BF16" s="118"/>
      <c r="BG16" s="118"/>
      <c r="BH16" s="118"/>
      <c r="BI16" s="118"/>
      <c r="BJ16" s="118"/>
      <c r="BK16" s="118"/>
      <c r="BL16" s="118"/>
      <c r="BM16" s="118"/>
      <c r="BN16" s="118"/>
    </row>
    <row r="17" spans="1:66" s="108" customFormat="1" ht="14.25" customHeight="1">
      <c r="A17" s="152"/>
      <c r="B17" s="169" t="s">
        <v>140</v>
      </c>
      <c r="C17" s="497">
        <f>INPUT!B38</f>
        <v>0.68</v>
      </c>
      <c r="D17" s="498">
        <f>IFERROR(VLOOKUP(1, 'Arranged Comps'!A:U,16,FALSE),"")</f>
        <v>0.96</v>
      </c>
      <c r="E17" s="498">
        <f>IFERROR(VLOOKUP(2, 'Arranged Comps'!A:U,16,FALSE),"")</f>
        <v>0.51</v>
      </c>
      <c r="F17" s="498">
        <f>IFERROR(VLOOKUP(3, 'Arranged Comps'!A:U,16,FALSE),"")</f>
        <v>0.99</v>
      </c>
      <c r="G17" s="499">
        <f>IFERROR(VLOOKUP(4, 'Arranged Comps'!A:U,16,FALSE),"")</f>
        <v>0.36</v>
      </c>
      <c r="J17" s="117"/>
      <c r="K17" s="140"/>
      <c r="L17" s="142"/>
      <c r="M17" s="144"/>
      <c r="N17" s="141"/>
      <c r="O17" s="114"/>
      <c r="P17" s="114"/>
      <c r="Q17" s="114"/>
      <c r="R17" s="114"/>
      <c r="S17" s="114"/>
      <c r="BA17" s="118"/>
      <c r="BB17" s="118"/>
      <c r="BC17" s="118"/>
      <c r="BD17" s="118"/>
      <c r="BE17" s="118"/>
      <c r="BF17" s="118"/>
      <c r="BG17" s="118"/>
      <c r="BH17" s="118"/>
      <c r="BI17" s="118"/>
      <c r="BJ17" s="118"/>
      <c r="BK17" s="118"/>
      <c r="BL17" s="118"/>
      <c r="BM17" s="118"/>
      <c r="BN17" s="118"/>
    </row>
    <row r="18" spans="1:66" s="108" customFormat="1" ht="14.25" customHeight="1">
      <c r="A18" s="152"/>
      <c r="B18" s="168" t="s">
        <v>173</v>
      </c>
      <c r="C18" s="500">
        <f>IF(C17&gt;0,C17*43560,0)</f>
        <v>29620.800000000003</v>
      </c>
      <c r="D18" s="500">
        <f>IFERROR(IF(D17&gt;0,D17*43560,0),"")</f>
        <v>41817.599999999999</v>
      </c>
      <c r="E18" s="500">
        <f>IFERROR(IF(E17&gt;0,E17*43560,0),"")</f>
        <v>22215.600000000002</v>
      </c>
      <c r="F18" s="500">
        <f>IFERROR(IF(F17&gt;0,F17*43560,0),"")</f>
        <v>43124.4</v>
      </c>
      <c r="G18" s="500">
        <f>IFERROR(IF(G17&gt;0,G17*43560,0),"")</f>
        <v>15681.599999999999</v>
      </c>
      <c r="J18" s="117"/>
      <c r="K18" s="140"/>
      <c r="L18" s="142"/>
      <c r="M18" s="144"/>
      <c r="N18" s="141"/>
      <c r="O18" s="114"/>
      <c r="P18" s="114"/>
      <c r="Q18" s="114"/>
      <c r="R18" s="114"/>
      <c r="S18" s="114"/>
      <c r="BA18" s="118"/>
      <c r="BB18" s="118"/>
      <c r="BC18" s="118"/>
      <c r="BD18" s="118"/>
      <c r="BE18" s="118"/>
      <c r="BF18" s="118"/>
      <c r="BG18" s="118"/>
      <c r="BH18" s="118"/>
      <c r="BI18" s="118"/>
      <c r="BJ18" s="118"/>
      <c r="BK18" s="118"/>
      <c r="BL18" s="118"/>
      <c r="BM18" s="118"/>
      <c r="BN18" s="118"/>
    </row>
    <row r="19" spans="1:66" s="108" customFormat="1" ht="14.25" customHeight="1" thickBot="1">
      <c r="A19" s="152"/>
      <c r="B19" s="501" t="s">
        <v>174</v>
      </c>
      <c r="C19" s="502">
        <v>2</v>
      </c>
      <c r="D19" s="502">
        <v>1</v>
      </c>
      <c r="E19" s="502">
        <v>1</v>
      </c>
      <c r="F19" s="502">
        <v>3</v>
      </c>
      <c r="G19" s="503">
        <v>1</v>
      </c>
      <c r="J19" s="117"/>
      <c r="K19" s="140"/>
      <c r="L19" s="142"/>
      <c r="M19" s="144"/>
      <c r="N19" s="141"/>
      <c r="O19" s="114"/>
      <c r="P19" s="114"/>
      <c r="Q19" s="114"/>
      <c r="R19" s="114"/>
      <c r="S19" s="114"/>
      <c r="BA19" s="118"/>
      <c r="BB19" s="118"/>
      <c r="BC19" s="118"/>
      <c r="BD19" s="118"/>
      <c r="BE19" s="118"/>
      <c r="BF19" s="118"/>
      <c r="BG19" s="118"/>
      <c r="BH19" s="118"/>
      <c r="BI19" s="118"/>
      <c r="BJ19" s="118"/>
      <c r="BK19" s="118"/>
      <c r="BL19" s="118"/>
      <c r="BM19" s="118"/>
      <c r="BN19" s="118"/>
    </row>
    <row r="20" spans="1:66" s="108" customFormat="1" ht="18" customHeight="1" thickTop="1" thickBot="1">
      <c r="A20" s="152"/>
      <c r="B20" s="902" t="s">
        <v>76</v>
      </c>
      <c r="C20" s="903"/>
      <c r="D20" s="903"/>
      <c r="E20" s="903"/>
      <c r="F20" s="903"/>
      <c r="G20" s="904"/>
      <c r="J20" s="117"/>
      <c r="K20" s="140"/>
      <c r="L20" s="142"/>
      <c r="M20" s="144"/>
      <c r="N20" s="145"/>
      <c r="O20" s="114"/>
      <c r="P20" s="114"/>
      <c r="Q20" s="114"/>
      <c r="R20" s="114"/>
      <c r="S20" s="114"/>
      <c r="BA20" s="118"/>
      <c r="BB20" s="118"/>
      <c r="BC20" s="118"/>
      <c r="BD20" s="118"/>
      <c r="BE20" s="118"/>
      <c r="BF20" s="118"/>
      <c r="BG20" s="118"/>
      <c r="BH20" s="118"/>
      <c r="BI20" s="118"/>
      <c r="BJ20" s="118"/>
      <c r="BK20" s="118"/>
      <c r="BL20" s="118"/>
      <c r="BM20" s="118"/>
      <c r="BN20" s="118"/>
    </row>
    <row r="21" spans="1:66" s="108" customFormat="1" ht="15" customHeight="1" thickTop="1">
      <c r="A21" s="152"/>
      <c r="B21" s="504" t="s">
        <v>75</v>
      </c>
      <c r="C21" s="505">
        <f>IF(C18&gt;0,C15/C18,0)</f>
        <v>132.6419272943337</v>
      </c>
      <c r="D21" s="506">
        <f>IFERROR(IF(D18&gt;0,D15/D18,0),"")</f>
        <v>126.74089378634834</v>
      </c>
      <c r="E21" s="506">
        <f>IFERROR(IF(E18&gt;0,E15/E18,0),"")</f>
        <v>120.41088244296799</v>
      </c>
      <c r="F21" s="506">
        <f>IFERROR(IF(F18&gt;0,F15/F18,0),"")</f>
        <v>148.4078619064845</v>
      </c>
      <c r="G21" s="506">
        <f>IFERROR(IF(G18&gt;0,G15/G18,0),"")</f>
        <v>100.11733496581982</v>
      </c>
      <c r="J21" s="117"/>
      <c r="K21" s="140"/>
      <c r="L21" s="142"/>
      <c r="M21" s="144"/>
      <c r="N21" s="140"/>
      <c r="O21" s="114"/>
      <c r="P21" s="114"/>
      <c r="Q21" s="114"/>
      <c r="R21" s="114"/>
      <c r="S21" s="114"/>
      <c r="BA21" s="118"/>
      <c r="BB21" s="118"/>
      <c r="BC21" s="118"/>
      <c r="BD21" s="118"/>
      <c r="BE21" s="118"/>
      <c r="BF21" s="118"/>
      <c r="BG21" s="118"/>
      <c r="BH21" s="118"/>
      <c r="BI21" s="118"/>
      <c r="BJ21" s="118"/>
      <c r="BK21" s="118"/>
      <c r="BL21" s="118"/>
      <c r="BM21" s="118"/>
      <c r="BN21" s="118"/>
    </row>
    <row r="22" spans="1:66" s="108" customFormat="1" ht="15" customHeight="1">
      <c r="A22" s="152"/>
      <c r="B22" s="169" t="s">
        <v>175</v>
      </c>
      <c r="C22" s="507"/>
      <c r="D22" s="511"/>
      <c r="E22" s="511"/>
      <c r="F22" s="511"/>
      <c r="G22" s="511"/>
      <c r="I22" s="119"/>
      <c r="J22" s="117"/>
      <c r="K22" s="146"/>
      <c r="L22" s="142"/>
      <c r="M22" s="144"/>
      <c r="N22" s="140"/>
      <c r="O22" s="114"/>
      <c r="P22" s="114"/>
      <c r="Q22" s="114"/>
      <c r="R22" s="114"/>
      <c r="S22" s="114"/>
      <c r="BA22" s="118"/>
      <c r="BB22" s="118"/>
      <c r="BC22" s="118"/>
      <c r="BD22" s="118"/>
      <c r="BE22" s="118"/>
      <c r="BF22" s="118"/>
      <c r="BG22" s="118"/>
      <c r="BH22" s="118"/>
      <c r="BI22" s="118"/>
      <c r="BJ22" s="118"/>
      <c r="BK22" s="118"/>
      <c r="BL22" s="118"/>
      <c r="BM22" s="118"/>
      <c r="BN22" s="118"/>
    </row>
    <row r="23" spans="1:66" s="108" customFormat="1" ht="15" customHeight="1">
      <c r="A23" s="152"/>
      <c r="B23" s="168" t="s">
        <v>176</v>
      </c>
      <c r="C23" s="507"/>
      <c r="D23" s="155"/>
      <c r="E23" s="155"/>
      <c r="F23" s="155"/>
      <c r="G23" s="155"/>
      <c r="I23" s="119"/>
      <c r="J23" s="117"/>
      <c r="K23" s="146"/>
      <c r="L23" s="142"/>
      <c r="M23" s="144"/>
      <c r="N23" s="140"/>
      <c r="O23" s="114"/>
      <c r="P23" s="114"/>
      <c r="Q23" s="114"/>
      <c r="R23" s="114"/>
      <c r="S23" s="114"/>
      <c r="BA23" s="118"/>
      <c r="BB23" s="118"/>
      <c r="BC23" s="118"/>
      <c r="BD23" s="118"/>
      <c r="BE23" s="118"/>
      <c r="BF23" s="118"/>
      <c r="BG23" s="118"/>
      <c r="BH23" s="118"/>
      <c r="BI23" s="118"/>
      <c r="BJ23" s="118"/>
      <c r="BK23" s="118"/>
      <c r="BL23" s="118"/>
      <c r="BM23" s="118"/>
      <c r="BN23" s="118"/>
    </row>
    <row r="24" spans="1:66" s="108" customFormat="1" ht="15" customHeight="1" thickBot="1">
      <c r="A24" s="152"/>
      <c r="B24" s="508" t="s">
        <v>177</v>
      </c>
      <c r="C24" s="509"/>
      <c r="D24" s="510">
        <f>IFERROR(ROUND((D21*(1+D22))*(1+D23),2),"")</f>
        <v>126.74</v>
      </c>
      <c r="E24" s="510">
        <f>IFERROR(ROUND((E21*(1+E22))*(1+E23),2),"")</f>
        <v>120.41</v>
      </c>
      <c r="F24" s="510">
        <f>IFERROR(ROUND((F21*(1+F22))*(1+F23),2),"")</f>
        <v>148.41</v>
      </c>
      <c r="G24" s="510">
        <f>IFERROR(ROUND((G21*(1+G22))*(1+G23),2),"")</f>
        <v>100.12</v>
      </c>
      <c r="J24" s="120"/>
      <c r="K24" s="147"/>
      <c r="L24" s="142"/>
      <c r="M24" s="144"/>
      <c r="N24" s="148"/>
      <c r="BA24" s="118"/>
      <c r="BB24" s="118"/>
      <c r="BC24" s="118"/>
      <c r="BD24" s="118"/>
      <c r="BE24" s="118"/>
      <c r="BF24" s="118"/>
      <c r="BG24" s="118"/>
      <c r="BH24" s="118"/>
      <c r="BI24" s="118"/>
      <c r="BJ24" s="118"/>
      <c r="BK24" s="118"/>
      <c r="BL24" s="118"/>
      <c r="BM24" s="118"/>
      <c r="BN24" s="118"/>
    </row>
    <row r="25" spans="1:66" s="108" customFormat="1" ht="18" customHeight="1" thickTop="1" thickBot="1">
      <c r="A25" s="152"/>
      <c r="B25" s="902" t="s">
        <v>178</v>
      </c>
      <c r="C25" s="903"/>
      <c r="D25" s="903"/>
      <c r="E25" s="903"/>
      <c r="F25" s="903"/>
      <c r="G25" s="904"/>
      <c r="J25" s="117"/>
      <c r="K25" s="147"/>
      <c r="L25" s="142"/>
      <c r="M25" s="144"/>
      <c r="N25" s="147"/>
      <c r="BA25" s="118"/>
      <c r="BB25" s="118"/>
      <c r="BC25" s="118"/>
      <c r="BD25" s="118"/>
      <c r="BE25" s="118"/>
      <c r="BF25" s="118"/>
      <c r="BG25" s="118"/>
      <c r="BH25" s="118"/>
      <c r="BI25" s="118"/>
      <c r="BJ25" s="118"/>
      <c r="BK25" s="118"/>
      <c r="BL25" s="118"/>
      <c r="BM25" s="118"/>
      <c r="BN25" s="118"/>
    </row>
    <row r="26" spans="1:66" s="108" customFormat="1" ht="15" customHeight="1" thickTop="1">
      <c r="A26" s="152"/>
      <c r="B26" s="181" t="s">
        <v>90</v>
      </c>
      <c r="C26" s="175"/>
      <c r="D26" s="171">
        <v>-0.1</v>
      </c>
      <c r="E26" s="171">
        <v>0.05</v>
      </c>
      <c r="F26" s="171"/>
      <c r="G26" s="171"/>
      <c r="J26" s="117"/>
      <c r="K26" s="147"/>
      <c r="L26" s="149"/>
      <c r="M26" s="150"/>
      <c r="N26" s="147"/>
      <c r="BA26" s="118"/>
      <c r="BB26" s="118"/>
      <c r="BC26" s="118"/>
      <c r="BD26" s="118"/>
      <c r="BE26" s="118"/>
      <c r="BF26" s="118"/>
      <c r="BG26" s="118"/>
      <c r="BH26" s="118"/>
      <c r="BI26" s="118"/>
      <c r="BJ26" s="118"/>
      <c r="BK26" s="118"/>
      <c r="BL26" s="118"/>
      <c r="BM26" s="118"/>
      <c r="BN26" s="118"/>
    </row>
    <row r="27" spans="1:66" s="108" customFormat="1" ht="15" customHeight="1">
      <c r="A27" s="152"/>
      <c r="B27" s="169" t="s">
        <v>179</v>
      </c>
      <c r="C27" s="172"/>
      <c r="D27" s="156"/>
      <c r="E27" s="156">
        <v>-0.05</v>
      </c>
      <c r="F27" s="156">
        <v>-0.1</v>
      </c>
      <c r="G27" s="157"/>
      <c r="H27" s="108" t="s">
        <v>11</v>
      </c>
      <c r="J27" s="117"/>
      <c r="L27" s="122"/>
      <c r="M27" s="123"/>
    </row>
    <row r="28" spans="1:66" s="108" customFormat="1" ht="15" customHeight="1">
      <c r="A28" s="152"/>
      <c r="B28" s="168" t="s">
        <v>180</v>
      </c>
      <c r="C28" s="172"/>
      <c r="D28" s="155"/>
      <c r="E28" s="155"/>
      <c r="F28" s="155"/>
      <c r="G28" s="155"/>
      <c r="J28" s="117"/>
      <c r="L28" s="122"/>
      <c r="M28" s="123"/>
    </row>
    <row r="29" spans="1:66" s="108" customFormat="1" ht="15" customHeight="1">
      <c r="A29" s="152"/>
      <c r="B29" s="178" t="s">
        <v>192</v>
      </c>
      <c r="C29" s="173"/>
      <c r="D29" s="156"/>
      <c r="E29" s="156"/>
      <c r="F29" s="156"/>
      <c r="G29" s="156"/>
      <c r="J29" s="120"/>
      <c r="K29" s="124"/>
      <c r="L29" s="125"/>
      <c r="M29" s="123"/>
    </row>
    <row r="30" spans="1:66" s="108" customFormat="1" ht="15" customHeight="1">
      <c r="A30" s="152"/>
      <c r="B30" s="179" t="s">
        <v>181</v>
      </c>
      <c r="C30" s="173"/>
      <c r="D30" s="155"/>
      <c r="E30" s="155"/>
      <c r="F30" s="155"/>
      <c r="G30" s="155"/>
      <c r="J30" s="117"/>
      <c r="K30" s="126"/>
      <c r="L30" s="125"/>
      <c r="M30" s="123"/>
    </row>
    <row r="31" spans="1:66" s="108" customFormat="1" ht="15" customHeight="1">
      <c r="A31" s="152"/>
      <c r="B31" s="170" t="s">
        <v>182</v>
      </c>
      <c r="C31" s="172"/>
      <c r="D31" s="156"/>
      <c r="E31" s="156"/>
      <c r="F31" s="156"/>
      <c r="G31" s="156"/>
      <c r="J31" s="117"/>
      <c r="K31" s="126"/>
      <c r="L31" s="125"/>
      <c r="M31" s="123"/>
    </row>
    <row r="32" spans="1:66" s="108" customFormat="1" ht="15" customHeight="1">
      <c r="A32" s="152"/>
      <c r="B32" s="168" t="s">
        <v>23</v>
      </c>
      <c r="C32" s="172"/>
      <c r="D32" s="155"/>
      <c r="E32" s="155"/>
      <c r="F32" s="155"/>
      <c r="G32" s="155"/>
      <c r="J32" s="117"/>
      <c r="K32" s="126"/>
      <c r="L32" s="125"/>
      <c r="M32" s="123"/>
    </row>
    <row r="33" spans="1:14" s="108" customFormat="1" ht="15" customHeight="1">
      <c r="A33" s="152"/>
      <c r="B33" s="170" t="s">
        <v>183</v>
      </c>
      <c r="C33" s="172"/>
      <c r="D33" s="156"/>
      <c r="E33" s="156"/>
      <c r="F33" s="156"/>
      <c r="G33" s="156"/>
      <c r="J33" s="117"/>
      <c r="K33" s="126"/>
      <c r="L33" s="905" t="s">
        <v>298</v>
      </c>
      <c r="M33" s="905"/>
    </row>
    <row r="34" spans="1:14" s="108" customFormat="1" ht="15" customHeight="1">
      <c r="A34" s="152"/>
      <c r="B34" s="176" t="s">
        <v>184</v>
      </c>
      <c r="C34" s="174"/>
      <c r="D34" s="155"/>
      <c r="E34" s="155"/>
      <c r="F34" s="155"/>
      <c r="G34" s="155"/>
      <c r="J34" s="117"/>
      <c r="K34" s="126"/>
      <c r="L34" s="310" t="s">
        <v>190</v>
      </c>
      <c r="M34" s="514">
        <v>160000</v>
      </c>
    </row>
    <row r="35" spans="1:14" s="108" customFormat="1" ht="15" customHeight="1">
      <c r="A35" s="152"/>
      <c r="B35" s="177" t="s">
        <v>185</v>
      </c>
      <c r="C35" s="174"/>
      <c r="D35" s="156"/>
      <c r="E35" s="156"/>
      <c r="F35" s="156"/>
      <c r="G35" s="156"/>
      <c r="J35" s="117"/>
      <c r="K35" s="126"/>
      <c r="L35" s="310" t="s">
        <v>191</v>
      </c>
      <c r="M35" s="514"/>
      <c r="N35" s="121"/>
    </row>
    <row r="36" spans="1:14" s="108" customFormat="1" ht="15" customHeight="1">
      <c r="A36" s="152"/>
      <c r="B36" s="180" t="s">
        <v>186</v>
      </c>
      <c r="C36" s="174"/>
      <c r="D36" s="155"/>
      <c r="E36" s="155"/>
      <c r="F36" s="155"/>
      <c r="G36" s="155"/>
      <c r="J36" s="117"/>
      <c r="K36" s="126"/>
      <c r="L36" s="125"/>
      <c r="M36" s="123"/>
    </row>
    <row r="37" spans="1:14" s="127" customFormat="1" ht="18" customHeight="1" thickBot="1">
      <c r="A37" s="153"/>
      <c r="B37" s="435" t="s">
        <v>62</v>
      </c>
      <c r="C37" s="436"/>
      <c r="D37" s="437">
        <f>IF(SUM(D26:D36)=0, "0%", SUM(D26:D36))</f>
        <v>-0.1</v>
      </c>
      <c r="E37" s="437" t="str">
        <f>IF(SUM(E26:E36)=0, "0%", SUM(E26:E36))</f>
        <v>0%</v>
      </c>
      <c r="F37" s="438">
        <f>IF(SUM(F26:F36)=0, "0%", SUM(F26:F36))</f>
        <v>-0.1</v>
      </c>
      <c r="G37" s="439" t="str">
        <f>IF(SUM(G26:G36)=0, "0%", SUM(G26:G36))</f>
        <v>0%</v>
      </c>
      <c r="I37" s="128"/>
      <c r="J37" s="117"/>
      <c r="K37" s="126"/>
      <c r="L37" s="129"/>
      <c r="M37" s="130"/>
    </row>
    <row r="38" spans="1:14" s="108" customFormat="1" ht="18" customHeight="1" thickTop="1" thickBot="1">
      <c r="A38" s="152"/>
      <c r="B38" s="440" t="s">
        <v>187</v>
      </c>
      <c r="C38" s="441"/>
      <c r="D38" s="442">
        <f>IFERROR((D15+(D15*(D22+D23))+(D15*(1+D22))*D37)/D17,"")</f>
        <v>4968750</v>
      </c>
      <c r="E38" s="442">
        <f>IFERROR((E15+(E15*(E22+E23))+(E15*(1+E22))*E37)/E17,"")</f>
        <v>5245098.0392156858</v>
      </c>
      <c r="F38" s="442">
        <f>IFERROR((F15+(F15*(F22+F23))+(F15*(1+F22))*F37)/F17,"")</f>
        <v>5818181.8181818184</v>
      </c>
      <c r="G38" s="442">
        <f>IFERROR((G15+(G15*(G22+G23))+(G15*(1+G22))*G37)/G17,"")</f>
        <v>4361111.111111111</v>
      </c>
      <c r="J38" s="117"/>
      <c r="K38" s="126"/>
      <c r="L38" s="125"/>
      <c r="M38" s="123"/>
    </row>
    <row r="39" spans="1:14" s="108" customFormat="1" ht="18" customHeight="1" thickTop="1" thickBot="1">
      <c r="A39" s="152"/>
      <c r="B39" s="443" t="s">
        <v>188</v>
      </c>
      <c r="C39" s="444"/>
      <c r="D39" s="445">
        <f>IFERROR(D24*(1+D37),"")</f>
        <v>114.066</v>
      </c>
      <c r="E39" s="445">
        <f>IFERROR(E24*(1+E37),"")</f>
        <v>120.41</v>
      </c>
      <c r="F39" s="445">
        <f>IFERROR(F24*(1+F37),"")</f>
        <v>133.56899999999999</v>
      </c>
      <c r="G39" s="445">
        <f>IFERROR(G24*(1+G37),"")</f>
        <v>100.12</v>
      </c>
      <c r="J39" s="117"/>
      <c r="K39" s="126"/>
      <c r="L39" s="125"/>
      <c r="M39" s="123"/>
    </row>
    <row r="40" spans="1:14" ht="7.5" customHeight="1" thickTop="1">
      <c r="A40" s="151"/>
      <c r="B40" s="446"/>
      <c r="C40" s="151"/>
      <c r="D40" s="447"/>
      <c r="E40" s="447"/>
      <c r="F40" s="447"/>
      <c r="G40" s="447"/>
      <c r="J40" s="111"/>
      <c r="K40" s="126"/>
      <c r="L40" s="132"/>
      <c r="M40" s="133"/>
    </row>
    <row r="41" spans="1:14" ht="15" customHeight="1">
      <c r="A41" s="151"/>
      <c r="B41" s="448" t="s">
        <v>189</v>
      </c>
      <c r="C41" s="449"/>
      <c r="D41" s="151"/>
      <c r="E41" s="151"/>
      <c r="F41" s="450" t="s">
        <v>60</v>
      </c>
      <c r="G41" s="151"/>
      <c r="J41" s="111"/>
      <c r="K41" s="126"/>
      <c r="L41" s="132"/>
      <c r="M41" s="133"/>
    </row>
    <row r="42" spans="1:14" ht="15" customHeight="1">
      <c r="A42" s="151"/>
      <c r="B42" s="451" t="s">
        <v>190</v>
      </c>
      <c r="C42" s="452">
        <f>IF(M34&lt;&gt;"", M34, IFERROR((C43*43560), ""))</f>
        <v>160000</v>
      </c>
      <c r="D42" s="450" t="s">
        <v>20</v>
      </c>
      <c r="E42" s="453" t="str">
        <f>C17&amp;" acres ="</f>
        <v>0.68 acres =</v>
      </c>
      <c r="F42" s="454">
        <f>IFERROR(C17*C42,"")</f>
        <v>108800.00000000001</v>
      </c>
      <c r="G42" s="151"/>
      <c r="J42" s="111"/>
      <c r="K42" s="126"/>
      <c r="L42" s="132"/>
      <c r="M42" s="133"/>
    </row>
    <row r="43" spans="1:14" ht="15" customHeight="1" thickBot="1">
      <c r="A43" s="151"/>
      <c r="B43" s="451" t="s">
        <v>191</v>
      </c>
      <c r="C43" s="455">
        <f>IF(M35&lt;&gt;"", M35, IFERROR((C42/43560), ""))</f>
        <v>3.6730945821854912</v>
      </c>
      <c r="D43" s="450" t="s">
        <v>20</v>
      </c>
      <c r="E43" s="456" t="str">
        <f>C18&amp;" square feet ="</f>
        <v>29620.8 square feet =</v>
      </c>
      <c r="F43" s="454">
        <f>IFERROR(C43*C18,"")</f>
        <v>108800.00000000001</v>
      </c>
      <c r="G43" s="151"/>
      <c r="K43" s="134"/>
      <c r="L43" s="132"/>
      <c r="M43" s="133"/>
      <c r="N43" s="135"/>
    </row>
    <row r="44" spans="1:14" ht="18" customHeight="1" thickTop="1" thickBot="1">
      <c r="A44" s="151"/>
      <c r="B44" s="457"/>
      <c r="C44" s="458"/>
      <c r="D44" s="459"/>
      <c r="E44" s="460" t="s">
        <v>58</v>
      </c>
      <c r="F44" s="461">
        <f>IFERROR(ROUND(F43,-3), ROUND(F42,-3))</f>
        <v>109000</v>
      </c>
      <c r="G44" s="151"/>
      <c r="K44" s="134"/>
      <c r="L44" s="132"/>
      <c r="M44" s="133"/>
      <c r="N44" s="135"/>
    </row>
    <row r="45" spans="1:14" ht="21.6" thickTop="1">
      <c r="A45" s="151"/>
      <c r="B45" s="462" t="str">
        <f>IFERROR(CONCATENATE("ADJUSTED MARKET RANGE IS ",TEXT(ROUND(J53,2),"$#.00")," - ",TEXT(ROUND(K53,2),"$#.00"), "/sf. CORRELATED TO ",TEXT(ROUND(C43,2),"$#.00"),"/sf."),"")</f>
        <v>ADJUSTED MARKET RANGE IS $100.12 - $133.57/sf. CORRELATED TO $3.67/sf.</v>
      </c>
      <c r="C45" s="151"/>
      <c r="D45" s="447"/>
      <c r="E45" s="447"/>
      <c r="F45" s="447"/>
      <c r="G45" s="447"/>
      <c r="K45" s="134"/>
    </row>
    <row r="46" spans="1:14">
      <c r="D46" s="131"/>
      <c r="E46" s="131"/>
      <c r="F46" s="131"/>
      <c r="G46" s="131"/>
      <c r="K46" s="134"/>
    </row>
    <row r="47" spans="1:14">
      <c r="D47" s="131"/>
      <c r="E47" s="131"/>
      <c r="F47" s="131"/>
      <c r="G47" s="131"/>
      <c r="K47" s="134"/>
    </row>
    <row r="48" spans="1:14">
      <c r="D48" s="131"/>
      <c r="E48" s="131"/>
      <c r="F48" s="131"/>
      <c r="G48" s="131"/>
      <c r="K48" s="134"/>
    </row>
    <row r="49" spans="4:11">
      <c r="D49" s="131"/>
      <c r="E49" s="131"/>
      <c r="F49" s="131"/>
      <c r="G49" s="131"/>
      <c r="K49" s="134"/>
    </row>
    <row r="50" spans="4:11">
      <c r="D50" s="131"/>
      <c r="E50" s="131"/>
      <c r="F50" s="131"/>
      <c r="G50" s="131"/>
      <c r="K50" s="63"/>
    </row>
    <row r="51" spans="4:11">
      <c r="J51" s="136"/>
      <c r="K51" s="136"/>
    </row>
    <row r="52" spans="4:11">
      <c r="J52" s="137" t="s">
        <v>57</v>
      </c>
      <c r="K52" s="137" t="s">
        <v>56</v>
      </c>
    </row>
    <row r="53" spans="4:11">
      <c r="J53" s="154">
        <f>MIN(D39:G39)</f>
        <v>100.12</v>
      </c>
      <c r="K53" s="154">
        <f>MAX(D39:G39)</f>
        <v>133.56899999999999</v>
      </c>
    </row>
    <row r="54" spans="4:11">
      <c r="J54" s="138"/>
      <c r="K54" s="138"/>
    </row>
    <row r="55" spans="4:11">
      <c r="K55" s="63"/>
    </row>
    <row r="56" spans="4:11">
      <c r="K56" s="63"/>
    </row>
    <row r="57" spans="4:11">
      <c r="K57" s="63"/>
    </row>
    <row r="58" spans="4:11">
      <c r="K58" s="63"/>
    </row>
    <row r="59" spans="4:11">
      <c r="K59" s="63"/>
    </row>
    <row r="60" spans="4:11">
      <c r="K60" s="63"/>
    </row>
    <row r="61" spans="4:11">
      <c r="K61" s="63"/>
    </row>
    <row r="62" spans="4:11">
      <c r="K62" s="63"/>
    </row>
    <row r="63" spans="4:11">
      <c r="K63" s="63"/>
    </row>
    <row r="64" spans="4:11">
      <c r="K64" s="63"/>
    </row>
    <row r="65" spans="11:11">
      <c r="K65" s="63"/>
    </row>
    <row r="66" spans="11:11">
      <c r="K66" s="63"/>
    </row>
    <row r="67" spans="11:11">
      <c r="K67" s="63"/>
    </row>
    <row r="68" spans="11:11">
      <c r="K68" s="63"/>
    </row>
    <row r="69" spans="11:11">
      <c r="K69" s="63"/>
    </row>
    <row r="70" spans="11:11">
      <c r="K70" s="63"/>
    </row>
    <row r="71" spans="11:11">
      <c r="K71" s="63"/>
    </row>
    <row r="72" spans="11:11">
      <c r="K72" s="63"/>
    </row>
    <row r="73" spans="11:11">
      <c r="K73" s="63"/>
    </row>
    <row r="74" spans="11:11">
      <c r="K74" s="63"/>
    </row>
    <row r="75" spans="11:11">
      <c r="K75" s="63"/>
    </row>
    <row r="76" spans="11:11">
      <c r="K76" s="63"/>
    </row>
  </sheetData>
  <mergeCells count="10">
    <mergeCell ref="A1:G1"/>
    <mergeCell ref="E2:G2"/>
    <mergeCell ref="B20:G20"/>
    <mergeCell ref="B25:G25"/>
    <mergeCell ref="L33:M33"/>
    <mergeCell ref="C7:C8"/>
    <mergeCell ref="D7:D8"/>
    <mergeCell ref="E7:E8"/>
    <mergeCell ref="F7:F8"/>
    <mergeCell ref="G7:G8"/>
  </mergeCells>
  <printOptions horizontalCentered="1" verticalCentered="1"/>
  <pageMargins left="0.25" right="0.25" top="0.5" bottom="0.5" header="0.3" footer="0.3"/>
  <pageSetup scale="77"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clearlandadj">
                <anchor moveWithCells="1" sizeWithCells="1">
                  <from>
                    <xdr:col>11</xdr:col>
                    <xdr:colOff>0</xdr:colOff>
                    <xdr:row>26</xdr:row>
                    <xdr:rowOff>114300</xdr:rowOff>
                  </from>
                  <to>
                    <xdr:col>12</xdr:col>
                    <xdr:colOff>160020</xdr:colOff>
                    <xdr:row>28</xdr:row>
                    <xdr:rowOff>22860</xdr:rowOff>
                  </to>
                </anchor>
              </controlPr>
            </control>
          </mc:Choice>
        </mc:AlternateContent>
        <mc:AlternateContent xmlns:mc="http://schemas.openxmlformats.org/markup-compatibility/2006">
          <mc:Choice Requires="x14">
            <control shapeId="81922" r:id="rId5" name="Button 2">
              <controlPr defaultSize="0" print="0" autoFill="0" autoPict="0" macro="[0]!CalculateLocationAdjustmentLand">
                <anchor moveWithCells="1" sizeWithCells="1">
                  <from>
                    <xdr:col>7</xdr:col>
                    <xdr:colOff>7620</xdr:colOff>
                    <xdr:row>26</xdr:row>
                    <xdr:rowOff>7620</xdr:rowOff>
                  </from>
                  <to>
                    <xdr:col>9</xdr:col>
                    <xdr:colOff>373380</xdr:colOff>
                    <xdr:row>27</xdr:row>
                    <xdr:rowOff>0</xdr:rowOff>
                  </to>
                </anchor>
              </controlPr>
            </control>
          </mc:Choice>
        </mc:AlternateContent>
        <mc:AlternateContent xmlns:mc="http://schemas.openxmlformats.org/markup-compatibility/2006">
          <mc:Choice Requires="x14">
            <control shapeId="81923" r:id="rId6" name="Button 3">
              <controlPr defaultSize="0" print="0" autoFill="0" autoPict="0" macro="[0]!AcreageAdjustment">
                <anchor moveWithCells="1" sizeWithCells="1">
                  <from>
                    <xdr:col>7</xdr:col>
                    <xdr:colOff>22860</xdr:colOff>
                    <xdr:row>25</xdr:row>
                    <xdr:rowOff>0</xdr:rowOff>
                  </from>
                  <to>
                    <xdr:col>9</xdr:col>
                    <xdr:colOff>365760</xdr:colOff>
                    <xdr:row>26</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A6D9E2-9E66-48CC-8246-9F56CB511E18}">
  <sheetPr codeName="Sheet1">
    <pageSetUpPr fitToPage="1"/>
  </sheetPr>
  <dimension ref="A1:Z55"/>
  <sheetViews>
    <sheetView showGridLines="0" zoomScale="145" zoomScaleNormal="145" workbookViewId="0">
      <selection activeCell="F23" sqref="F23"/>
    </sheetView>
  </sheetViews>
  <sheetFormatPr defaultRowHeight="13.2"/>
  <cols>
    <col min="1" max="2" width="3.6640625" style="543" customWidth="1"/>
    <col min="3" max="3" width="10.109375" style="543" bestFit="1" customWidth="1"/>
    <col min="4" max="4" width="11.33203125" style="547" bestFit="1" customWidth="1"/>
    <col min="5" max="5" width="1.6640625" style="547" customWidth="1"/>
    <col min="6" max="6" width="11.44140625" style="547" bestFit="1" customWidth="1"/>
    <col min="7" max="7" width="2.6640625" style="547" customWidth="1"/>
    <col min="8" max="8" width="5.6640625" style="547" customWidth="1"/>
    <col min="9" max="9" width="1.6640625" style="547" customWidth="1"/>
    <col min="10" max="10" width="11.44140625" style="547" bestFit="1" customWidth="1"/>
    <col min="11" max="11" width="2.6640625" style="547" customWidth="1"/>
    <col min="12" max="12" width="5.6640625" style="547" customWidth="1"/>
    <col min="13" max="13" width="1.6640625" style="547" customWidth="1"/>
    <col min="14" max="14" width="11.44140625" style="547" bestFit="1" customWidth="1"/>
    <col min="15" max="15" width="2.6640625" style="547" customWidth="1"/>
    <col min="16" max="16" width="5.6640625" style="547" customWidth="1"/>
    <col min="17" max="17" width="1.6640625" style="543" customWidth="1"/>
    <col min="18" max="18" width="7.44140625" style="543" customWidth="1"/>
    <col min="19" max="19" width="6.33203125" style="543" customWidth="1"/>
    <col min="20" max="20" width="7.109375" style="543" bestFit="1" customWidth="1"/>
    <col min="21" max="21" width="9.33203125" style="543" bestFit="1" customWidth="1"/>
    <col min="22" max="22" width="1.6640625" style="543" customWidth="1"/>
    <col min="23" max="23" width="12.33203125" style="543" bestFit="1" customWidth="1"/>
    <col min="24" max="256" width="9.109375" style="543"/>
    <col min="257" max="258" width="3.6640625" style="543" customWidth="1"/>
    <col min="259" max="259" width="10.109375" style="543" bestFit="1" customWidth="1"/>
    <col min="260" max="260" width="11.33203125" style="543" bestFit="1" customWidth="1"/>
    <col min="261" max="261" width="1.6640625" style="543" customWidth="1"/>
    <col min="262" max="262" width="11.44140625" style="543" bestFit="1" customWidth="1"/>
    <col min="263" max="263" width="2.6640625" style="543" customWidth="1"/>
    <col min="264" max="264" width="5.6640625" style="543" customWidth="1"/>
    <col min="265" max="265" width="1.6640625" style="543" customWidth="1"/>
    <col min="266" max="266" width="11.44140625" style="543" bestFit="1" customWidth="1"/>
    <col min="267" max="267" width="2.6640625" style="543" customWidth="1"/>
    <col min="268" max="268" width="5.6640625" style="543" customWidth="1"/>
    <col min="269" max="269" width="1.6640625" style="543" customWidth="1"/>
    <col min="270" max="270" width="11.44140625" style="543" bestFit="1" customWidth="1"/>
    <col min="271" max="271" width="2.6640625" style="543" customWidth="1"/>
    <col min="272" max="272" width="5.6640625" style="543" customWidth="1"/>
    <col min="273" max="273" width="1.6640625" style="543" customWidth="1"/>
    <col min="274" max="274" width="7.44140625" style="543" customWidth="1"/>
    <col min="275" max="275" width="6.33203125" style="543" customWidth="1"/>
    <col min="276" max="276" width="7.109375" style="543" bestFit="1" customWidth="1"/>
    <col min="277" max="277" width="9.33203125" style="543" bestFit="1" customWidth="1"/>
    <col min="278" max="278" width="1.6640625" style="543" customWidth="1"/>
    <col min="279" max="279" width="12.33203125" style="543" bestFit="1" customWidth="1"/>
    <col min="280" max="512" width="9.109375" style="543"/>
    <col min="513" max="514" width="3.6640625" style="543" customWidth="1"/>
    <col min="515" max="515" width="10.109375" style="543" bestFit="1" customWidth="1"/>
    <col min="516" max="516" width="11.33203125" style="543" bestFit="1" customWidth="1"/>
    <col min="517" max="517" width="1.6640625" style="543" customWidth="1"/>
    <col min="518" max="518" width="11.44140625" style="543" bestFit="1" customWidth="1"/>
    <col min="519" max="519" width="2.6640625" style="543" customWidth="1"/>
    <col min="520" max="520" width="5.6640625" style="543" customWidth="1"/>
    <col min="521" max="521" width="1.6640625" style="543" customWidth="1"/>
    <col min="522" max="522" width="11.44140625" style="543" bestFit="1" customWidth="1"/>
    <col min="523" max="523" width="2.6640625" style="543" customWidth="1"/>
    <col min="524" max="524" width="5.6640625" style="543" customWidth="1"/>
    <col min="525" max="525" width="1.6640625" style="543" customWidth="1"/>
    <col min="526" max="526" width="11.44140625" style="543" bestFit="1" customWidth="1"/>
    <col min="527" max="527" width="2.6640625" style="543" customWidth="1"/>
    <col min="528" max="528" width="5.6640625" style="543" customWidth="1"/>
    <col min="529" max="529" width="1.6640625" style="543" customWidth="1"/>
    <col min="530" max="530" width="7.44140625" style="543" customWidth="1"/>
    <col min="531" max="531" width="6.33203125" style="543" customWidth="1"/>
    <col min="532" max="532" width="7.109375" style="543" bestFit="1" customWidth="1"/>
    <col min="533" max="533" width="9.33203125" style="543" bestFit="1" customWidth="1"/>
    <col min="534" max="534" width="1.6640625" style="543" customWidth="1"/>
    <col min="535" max="535" width="12.33203125" style="543" bestFit="1" customWidth="1"/>
    <col min="536" max="768" width="9.109375" style="543"/>
    <col min="769" max="770" width="3.6640625" style="543" customWidth="1"/>
    <col min="771" max="771" width="10.109375" style="543" bestFit="1" customWidth="1"/>
    <col min="772" max="772" width="11.33203125" style="543" bestFit="1" customWidth="1"/>
    <col min="773" max="773" width="1.6640625" style="543" customWidth="1"/>
    <col min="774" max="774" width="11.44140625" style="543" bestFit="1" customWidth="1"/>
    <col min="775" max="775" width="2.6640625" style="543" customWidth="1"/>
    <col min="776" max="776" width="5.6640625" style="543" customWidth="1"/>
    <col min="777" max="777" width="1.6640625" style="543" customWidth="1"/>
    <col min="778" max="778" width="11.44140625" style="543" bestFit="1" customWidth="1"/>
    <col min="779" max="779" width="2.6640625" style="543" customWidth="1"/>
    <col min="780" max="780" width="5.6640625" style="543" customWidth="1"/>
    <col min="781" max="781" width="1.6640625" style="543" customWidth="1"/>
    <col min="782" max="782" width="11.44140625" style="543" bestFit="1" customWidth="1"/>
    <col min="783" max="783" width="2.6640625" style="543" customWidth="1"/>
    <col min="784" max="784" width="5.6640625" style="543" customWidth="1"/>
    <col min="785" max="785" width="1.6640625" style="543" customWidth="1"/>
    <col min="786" max="786" width="7.44140625" style="543" customWidth="1"/>
    <col min="787" max="787" width="6.33203125" style="543" customWidth="1"/>
    <col min="788" max="788" width="7.109375" style="543" bestFit="1" customWidth="1"/>
    <col min="789" max="789" width="9.33203125" style="543" bestFit="1" customWidth="1"/>
    <col min="790" max="790" width="1.6640625" style="543" customWidth="1"/>
    <col min="791" max="791" width="12.33203125" style="543" bestFit="1" customWidth="1"/>
    <col min="792" max="1024" width="9.109375" style="543"/>
    <col min="1025" max="1026" width="3.6640625" style="543" customWidth="1"/>
    <col min="1027" max="1027" width="10.109375" style="543" bestFit="1" customWidth="1"/>
    <col min="1028" max="1028" width="11.33203125" style="543" bestFit="1" customWidth="1"/>
    <col min="1029" max="1029" width="1.6640625" style="543" customWidth="1"/>
    <col min="1030" max="1030" width="11.44140625" style="543" bestFit="1" customWidth="1"/>
    <col min="1031" max="1031" width="2.6640625" style="543" customWidth="1"/>
    <col min="1032" max="1032" width="5.6640625" style="543" customWidth="1"/>
    <col min="1033" max="1033" width="1.6640625" style="543" customWidth="1"/>
    <col min="1034" max="1034" width="11.44140625" style="543" bestFit="1" customWidth="1"/>
    <col min="1035" max="1035" width="2.6640625" style="543" customWidth="1"/>
    <col min="1036" max="1036" width="5.6640625" style="543" customWidth="1"/>
    <col min="1037" max="1037" width="1.6640625" style="543" customWidth="1"/>
    <col min="1038" max="1038" width="11.44140625" style="543" bestFit="1" customWidth="1"/>
    <col min="1039" max="1039" width="2.6640625" style="543" customWidth="1"/>
    <col min="1040" max="1040" width="5.6640625" style="543" customWidth="1"/>
    <col min="1041" max="1041" width="1.6640625" style="543" customWidth="1"/>
    <col min="1042" max="1042" width="7.44140625" style="543" customWidth="1"/>
    <col min="1043" max="1043" width="6.33203125" style="543" customWidth="1"/>
    <col min="1044" max="1044" width="7.109375" style="543" bestFit="1" customWidth="1"/>
    <col min="1045" max="1045" width="9.33203125" style="543" bestFit="1" customWidth="1"/>
    <col min="1046" max="1046" width="1.6640625" style="543" customWidth="1"/>
    <col min="1047" max="1047" width="12.33203125" style="543" bestFit="1" customWidth="1"/>
    <col min="1048" max="1280" width="9.109375" style="543"/>
    <col min="1281" max="1282" width="3.6640625" style="543" customWidth="1"/>
    <col min="1283" max="1283" width="10.109375" style="543" bestFit="1" customWidth="1"/>
    <col min="1284" max="1284" width="11.33203125" style="543" bestFit="1" customWidth="1"/>
    <col min="1285" max="1285" width="1.6640625" style="543" customWidth="1"/>
    <col min="1286" max="1286" width="11.44140625" style="543" bestFit="1" customWidth="1"/>
    <col min="1287" max="1287" width="2.6640625" style="543" customWidth="1"/>
    <col min="1288" max="1288" width="5.6640625" style="543" customWidth="1"/>
    <col min="1289" max="1289" width="1.6640625" style="543" customWidth="1"/>
    <col min="1290" max="1290" width="11.44140625" style="543" bestFit="1" customWidth="1"/>
    <col min="1291" max="1291" width="2.6640625" style="543" customWidth="1"/>
    <col min="1292" max="1292" width="5.6640625" style="543" customWidth="1"/>
    <col min="1293" max="1293" width="1.6640625" style="543" customWidth="1"/>
    <col min="1294" max="1294" width="11.44140625" style="543" bestFit="1" customWidth="1"/>
    <col min="1295" max="1295" width="2.6640625" style="543" customWidth="1"/>
    <col min="1296" max="1296" width="5.6640625" style="543" customWidth="1"/>
    <col min="1297" max="1297" width="1.6640625" style="543" customWidth="1"/>
    <col min="1298" max="1298" width="7.44140625" style="543" customWidth="1"/>
    <col min="1299" max="1299" width="6.33203125" style="543" customWidth="1"/>
    <col min="1300" max="1300" width="7.109375" style="543" bestFit="1" customWidth="1"/>
    <col min="1301" max="1301" width="9.33203125" style="543" bestFit="1" customWidth="1"/>
    <col min="1302" max="1302" width="1.6640625" style="543" customWidth="1"/>
    <col min="1303" max="1303" width="12.33203125" style="543" bestFit="1" customWidth="1"/>
    <col min="1304" max="1536" width="9.109375" style="543"/>
    <col min="1537" max="1538" width="3.6640625" style="543" customWidth="1"/>
    <col min="1539" max="1539" width="10.109375" style="543" bestFit="1" customWidth="1"/>
    <col min="1540" max="1540" width="11.33203125" style="543" bestFit="1" customWidth="1"/>
    <col min="1541" max="1541" width="1.6640625" style="543" customWidth="1"/>
    <col min="1542" max="1542" width="11.44140625" style="543" bestFit="1" customWidth="1"/>
    <col min="1543" max="1543" width="2.6640625" style="543" customWidth="1"/>
    <col min="1544" max="1544" width="5.6640625" style="543" customWidth="1"/>
    <col min="1545" max="1545" width="1.6640625" style="543" customWidth="1"/>
    <col min="1546" max="1546" width="11.44140625" style="543" bestFit="1" customWidth="1"/>
    <col min="1547" max="1547" width="2.6640625" style="543" customWidth="1"/>
    <col min="1548" max="1548" width="5.6640625" style="543" customWidth="1"/>
    <col min="1549" max="1549" width="1.6640625" style="543" customWidth="1"/>
    <col min="1550" max="1550" width="11.44140625" style="543" bestFit="1" customWidth="1"/>
    <col min="1551" max="1551" width="2.6640625" style="543" customWidth="1"/>
    <col min="1552" max="1552" width="5.6640625" style="543" customWidth="1"/>
    <col min="1553" max="1553" width="1.6640625" style="543" customWidth="1"/>
    <col min="1554" max="1554" width="7.44140625" style="543" customWidth="1"/>
    <col min="1555" max="1555" width="6.33203125" style="543" customWidth="1"/>
    <col min="1556" max="1556" width="7.109375" style="543" bestFit="1" customWidth="1"/>
    <col min="1557" max="1557" width="9.33203125" style="543" bestFit="1" customWidth="1"/>
    <col min="1558" max="1558" width="1.6640625" style="543" customWidth="1"/>
    <col min="1559" max="1559" width="12.33203125" style="543" bestFit="1" customWidth="1"/>
    <col min="1560" max="1792" width="9.109375" style="543"/>
    <col min="1793" max="1794" width="3.6640625" style="543" customWidth="1"/>
    <col min="1795" max="1795" width="10.109375" style="543" bestFit="1" customWidth="1"/>
    <col min="1796" max="1796" width="11.33203125" style="543" bestFit="1" customWidth="1"/>
    <col min="1797" max="1797" width="1.6640625" style="543" customWidth="1"/>
    <col min="1798" max="1798" width="11.44140625" style="543" bestFit="1" customWidth="1"/>
    <col min="1799" max="1799" width="2.6640625" style="543" customWidth="1"/>
    <col min="1800" max="1800" width="5.6640625" style="543" customWidth="1"/>
    <col min="1801" max="1801" width="1.6640625" style="543" customWidth="1"/>
    <col min="1802" max="1802" width="11.44140625" style="543" bestFit="1" customWidth="1"/>
    <col min="1803" max="1803" width="2.6640625" style="543" customWidth="1"/>
    <col min="1804" max="1804" width="5.6640625" style="543" customWidth="1"/>
    <col min="1805" max="1805" width="1.6640625" style="543" customWidth="1"/>
    <col min="1806" max="1806" width="11.44140625" style="543" bestFit="1" customWidth="1"/>
    <col min="1807" max="1807" width="2.6640625" style="543" customWidth="1"/>
    <col min="1808" max="1808" width="5.6640625" style="543" customWidth="1"/>
    <col min="1809" max="1809" width="1.6640625" style="543" customWidth="1"/>
    <col min="1810" max="1810" width="7.44140625" style="543" customWidth="1"/>
    <col min="1811" max="1811" width="6.33203125" style="543" customWidth="1"/>
    <col min="1812" max="1812" width="7.109375" style="543" bestFit="1" customWidth="1"/>
    <col min="1813" max="1813" width="9.33203125" style="543" bestFit="1" customWidth="1"/>
    <col min="1814" max="1814" width="1.6640625" style="543" customWidth="1"/>
    <col min="1815" max="1815" width="12.33203125" style="543" bestFit="1" customWidth="1"/>
    <col min="1816" max="2048" width="9.109375" style="543"/>
    <col min="2049" max="2050" width="3.6640625" style="543" customWidth="1"/>
    <col min="2051" max="2051" width="10.109375" style="543" bestFit="1" customWidth="1"/>
    <col min="2052" max="2052" width="11.33203125" style="543" bestFit="1" customWidth="1"/>
    <col min="2053" max="2053" width="1.6640625" style="543" customWidth="1"/>
    <col min="2054" max="2054" width="11.44140625" style="543" bestFit="1" customWidth="1"/>
    <col min="2055" max="2055" width="2.6640625" style="543" customWidth="1"/>
    <col min="2056" max="2056" width="5.6640625" style="543" customWidth="1"/>
    <col min="2057" max="2057" width="1.6640625" style="543" customWidth="1"/>
    <col min="2058" max="2058" width="11.44140625" style="543" bestFit="1" customWidth="1"/>
    <col min="2059" max="2059" width="2.6640625" style="543" customWidth="1"/>
    <col min="2060" max="2060" width="5.6640625" style="543" customWidth="1"/>
    <col min="2061" max="2061" width="1.6640625" style="543" customWidth="1"/>
    <col min="2062" max="2062" width="11.44140625" style="543" bestFit="1" customWidth="1"/>
    <col min="2063" max="2063" width="2.6640625" style="543" customWidth="1"/>
    <col min="2064" max="2064" width="5.6640625" style="543" customWidth="1"/>
    <col min="2065" max="2065" width="1.6640625" style="543" customWidth="1"/>
    <col min="2066" max="2066" width="7.44140625" style="543" customWidth="1"/>
    <col min="2067" max="2067" width="6.33203125" style="543" customWidth="1"/>
    <col min="2068" max="2068" width="7.109375" style="543" bestFit="1" customWidth="1"/>
    <col min="2069" max="2069" width="9.33203125" style="543" bestFit="1" customWidth="1"/>
    <col min="2070" max="2070" width="1.6640625" style="543" customWidth="1"/>
    <col min="2071" max="2071" width="12.33203125" style="543" bestFit="1" customWidth="1"/>
    <col min="2072" max="2304" width="9.109375" style="543"/>
    <col min="2305" max="2306" width="3.6640625" style="543" customWidth="1"/>
    <col min="2307" max="2307" width="10.109375" style="543" bestFit="1" customWidth="1"/>
    <col min="2308" max="2308" width="11.33203125" style="543" bestFit="1" customWidth="1"/>
    <col min="2309" max="2309" width="1.6640625" style="543" customWidth="1"/>
    <col min="2310" max="2310" width="11.44140625" style="543" bestFit="1" customWidth="1"/>
    <col min="2311" max="2311" width="2.6640625" style="543" customWidth="1"/>
    <col min="2312" max="2312" width="5.6640625" style="543" customWidth="1"/>
    <col min="2313" max="2313" width="1.6640625" style="543" customWidth="1"/>
    <col min="2314" max="2314" width="11.44140625" style="543" bestFit="1" customWidth="1"/>
    <col min="2315" max="2315" width="2.6640625" style="543" customWidth="1"/>
    <col min="2316" max="2316" width="5.6640625" style="543" customWidth="1"/>
    <col min="2317" max="2317" width="1.6640625" style="543" customWidth="1"/>
    <col min="2318" max="2318" width="11.44140625" style="543" bestFit="1" customWidth="1"/>
    <col min="2319" max="2319" width="2.6640625" style="543" customWidth="1"/>
    <col min="2320" max="2320" width="5.6640625" style="543" customWidth="1"/>
    <col min="2321" max="2321" width="1.6640625" style="543" customWidth="1"/>
    <col min="2322" max="2322" width="7.44140625" style="543" customWidth="1"/>
    <col min="2323" max="2323" width="6.33203125" style="543" customWidth="1"/>
    <col min="2324" max="2324" width="7.109375" style="543" bestFit="1" customWidth="1"/>
    <col min="2325" max="2325" width="9.33203125" style="543" bestFit="1" customWidth="1"/>
    <col min="2326" max="2326" width="1.6640625" style="543" customWidth="1"/>
    <col min="2327" max="2327" width="12.33203125" style="543" bestFit="1" customWidth="1"/>
    <col min="2328" max="2560" width="9.109375" style="543"/>
    <col min="2561" max="2562" width="3.6640625" style="543" customWidth="1"/>
    <col min="2563" max="2563" width="10.109375" style="543" bestFit="1" customWidth="1"/>
    <col min="2564" max="2564" width="11.33203125" style="543" bestFit="1" customWidth="1"/>
    <col min="2565" max="2565" width="1.6640625" style="543" customWidth="1"/>
    <col min="2566" max="2566" width="11.44140625" style="543" bestFit="1" customWidth="1"/>
    <col min="2567" max="2567" width="2.6640625" style="543" customWidth="1"/>
    <col min="2568" max="2568" width="5.6640625" style="543" customWidth="1"/>
    <col min="2569" max="2569" width="1.6640625" style="543" customWidth="1"/>
    <col min="2570" max="2570" width="11.44140625" style="543" bestFit="1" customWidth="1"/>
    <col min="2571" max="2571" width="2.6640625" style="543" customWidth="1"/>
    <col min="2572" max="2572" width="5.6640625" style="543" customWidth="1"/>
    <col min="2573" max="2573" width="1.6640625" style="543" customWidth="1"/>
    <col min="2574" max="2574" width="11.44140625" style="543" bestFit="1" customWidth="1"/>
    <col min="2575" max="2575" width="2.6640625" style="543" customWidth="1"/>
    <col min="2576" max="2576" width="5.6640625" style="543" customWidth="1"/>
    <col min="2577" max="2577" width="1.6640625" style="543" customWidth="1"/>
    <col min="2578" max="2578" width="7.44140625" style="543" customWidth="1"/>
    <col min="2579" max="2579" width="6.33203125" style="543" customWidth="1"/>
    <col min="2580" max="2580" width="7.109375" style="543" bestFit="1" customWidth="1"/>
    <col min="2581" max="2581" width="9.33203125" style="543" bestFit="1" customWidth="1"/>
    <col min="2582" max="2582" width="1.6640625" style="543" customWidth="1"/>
    <col min="2583" max="2583" width="12.33203125" style="543" bestFit="1" customWidth="1"/>
    <col min="2584" max="2816" width="9.109375" style="543"/>
    <col min="2817" max="2818" width="3.6640625" style="543" customWidth="1"/>
    <col min="2819" max="2819" width="10.109375" style="543" bestFit="1" customWidth="1"/>
    <col min="2820" max="2820" width="11.33203125" style="543" bestFit="1" customWidth="1"/>
    <col min="2821" max="2821" width="1.6640625" style="543" customWidth="1"/>
    <col min="2822" max="2822" width="11.44140625" style="543" bestFit="1" customWidth="1"/>
    <col min="2823" max="2823" width="2.6640625" style="543" customWidth="1"/>
    <col min="2824" max="2824" width="5.6640625" style="543" customWidth="1"/>
    <col min="2825" max="2825" width="1.6640625" style="543" customWidth="1"/>
    <col min="2826" max="2826" width="11.44140625" style="543" bestFit="1" customWidth="1"/>
    <col min="2827" max="2827" width="2.6640625" style="543" customWidth="1"/>
    <col min="2828" max="2828" width="5.6640625" style="543" customWidth="1"/>
    <col min="2829" max="2829" width="1.6640625" style="543" customWidth="1"/>
    <col min="2830" max="2830" width="11.44140625" style="543" bestFit="1" customWidth="1"/>
    <col min="2831" max="2831" width="2.6640625" style="543" customWidth="1"/>
    <col min="2832" max="2832" width="5.6640625" style="543" customWidth="1"/>
    <col min="2833" max="2833" width="1.6640625" style="543" customWidth="1"/>
    <col min="2834" max="2834" width="7.44140625" style="543" customWidth="1"/>
    <col min="2835" max="2835" width="6.33203125" style="543" customWidth="1"/>
    <col min="2836" max="2836" width="7.109375" style="543" bestFit="1" customWidth="1"/>
    <col min="2837" max="2837" width="9.33203125" style="543" bestFit="1" customWidth="1"/>
    <col min="2838" max="2838" width="1.6640625" style="543" customWidth="1"/>
    <col min="2839" max="2839" width="12.33203125" style="543" bestFit="1" customWidth="1"/>
    <col min="2840" max="3072" width="9.109375" style="543"/>
    <col min="3073" max="3074" width="3.6640625" style="543" customWidth="1"/>
    <col min="3075" max="3075" width="10.109375" style="543" bestFit="1" customWidth="1"/>
    <col min="3076" max="3076" width="11.33203125" style="543" bestFit="1" customWidth="1"/>
    <col min="3077" max="3077" width="1.6640625" style="543" customWidth="1"/>
    <col min="3078" max="3078" width="11.44140625" style="543" bestFit="1" customWidth="1"/>
    <col min="3079" max="3079" width="2.6640625" style="543" customWidth="1"/>
    <col min="3080" max="3080" width="5.6640625" style="543" customWidth="1"/>
    <col min="3081" max="3081" width="1.6640625" style="543" customWidth="1"/>
    <col min="3082" max="3082" width="11.44140625" style="543" bestFit="1" customWidth="1"/>
    <col min="3083" max="3083" width="2.6640625" style="543" customWidth="1"/>
    <col min="3084" max="3084" width="5.6640625" style="543" customWidth="1"/>
    <col min="3085" max="3085" width="1.6640625" style="543" customWidth="1"/>
    <col min="3086" max="3086" width="11.44140625" style="543" bestFit="1" customWidth="1"/>
    <col min="3087" max="3087" width="2.6640625" style="543" customWidth="1"/>
    <col min="3088" max="3088" width="5.6640625" style="543" customWidth="1"/>
    <col min="3089" max="3089" width="1.6640625" style="543" customWidth="1"/>
    <col min="3090" max="3090" width="7.44140625" style="543" customWidth="1"/>
    <col min="3091" max="3091" width="6.33203125" style="543" customWidth="1"/>
    <col min="3092" max="3092" width="7.109375" style="543" bestFit="1" customWidth="1"/>
    <col min="3093" max="3093" width="9.33203125" style="543" bestFit="1" customWidth="1"/>
    <col min="3094" max="3094" width="1.6640625" style="543" customWidth="1"/>
    <col min="3095" max="3095" width="12.33203125" style="543" bestFit="1" customWidth="1"/>
    <col min="3096" max="3328" width="9.109375" style="543"/>
    <col min="3329" max="3330" width="3.6640625" style="543" customWidth="1"/>
    <col min="3331" max="3331" width="10.109375" style="543" bestFit="1" customWidth="1"/>
    <col min="3332" max="3332" width="11.33203125" style="543" bestFit="1" customWidth="1"/>
    <col min="3333" max="3333" width="1.6640625" style="543" customWidth="1"/>
    <col min="3334" max="3334" width="11.44140625" style="543" bestFit="1" customWidth="1"/>
    <col min="3335" max="3335" width="2.6640625" style="543" customWidth="1"/>
    <col min="3336" max="3336" width="5.6640625" style="543" customWidth="1"/>
    <col min="3337" max="3337" width="1.6640625" style="543" customWidth="1"/>
    <col min="3338" max="3338" width="11.44140625" style="543" bestFit="1" customWidth="1"/>
    <col min="3339" max="3339" width="2.6640625" style="543" customWidth="1"/>
    <col min="3340" max="3340" width="5.6640625" style="543" customWidth="1"/>
    <col min="3341" max="3341" width="1.6640625" style="543" customWidth="1"/>
    <col min="3342" max="3342" width="11.44140625" style="543" bestFit="1" customWidth="1"/>
    <col min="3343" max="3343" width="2.6640625" style="543" customWidth="1"/>
    <col min="3344" max="3344" width="5.6640625" style="543" customWidth="1"/>
    <col min="3345" max="3345" width="1.6640625" style="543" customWidth="1"/>
    <col min="3346" max="3346" width="7.44140625" style="543" customWidth="1"/>
    <col min="3347" max="3347" width="6.33203125" style="543" customWidth="1"/>
    <col min="3348" max="3348" width="7.109375" style="543" bestFit="1" customWidth="1"/>
    <col min="3349" max="3349" width="9.33203125" style="543" bestFit="1" customWidth="1"/>
    <col min="3350" max="3350" width="1.6640625" style="543" customWidth="1"/>
    <col min="3351" max="3351" width="12.33203125" style="543" bestFit="1" customWidth="1"/>
    <col min="3352" max="3584" width="9.109375" style="543"/>
    <col min="3585" max="3586" width="3.6640625" style="543" customWidth="1"/>
    <col min="3587" max="3587" width="10.109375" style="543" bestFit="1" customWidth="1"/>
    <col min="3588" max="3588" width="11.33203125" style="543" bestFit="1" customWidth="1"/>
    <col min="3589" max="3589" width="1.6640625" style="543" customWidth="1"/>
    <col min="3590" max="3590" width="11.44140625" style="543" bestFit="1" customWidth="1"/>
    <col min="3591" max="3591" width="2.6640625" style="543" customWidth="1"/>
    <col min="3592" max="3592" width="5.6640625" style="543" customWidth="1"/>
    <col min="3593" max="3593" width="1.6640625" style="543" customWidth="1"/>
    <col min="3594" max="3594" width="11.44140625" style="543" bestFit="1" customWidth="1"/>
    <col min="3595" max="3595" width="2.6640625" style="543" customWidth="1"/>
    <col min="3596" max="3596" width="5.6640625" style="543" customWidth="1"/>
    <col min="3597" max="3597" width="1.6640625" style="543" customWidth="1"/>
    <col min="3598" max="3598" width="11.44140625" style="543" bestFit="1" customWidth="1"/>
    <col min="3599" max="3599" width="2.6640625" style="543" customWidth="1"/>
    <col min="3600" max="3600" width="5.6640625" style="543" customWidth="1"/>
    <col min="3601" max="3601" width="1.6640625" style="543" customWidth="1"/>
    <col min="3602" max="3602" width="7.44140625" style="543" customWidth="1"/>
    <col min="3603" max="3603" width="6.33203125" style="543" customWidth="1"/>
    <col min="3604" max="3604" width="7.109375" style="543" bestFit="1" customWidth="1"/>
    <col min="3605" max="3605" width="9.33203125" style="543" bestFit="1" customWidth="1"/>
    <col min="3606" max="3606" width="1.6640625" style="543" customWidth="1"/>
    <col min="3607" max="3607" width="12.33203125" style="543" bestFit="1" customWidth="1"/>
    <col min="3608" max="3840" width="9.109375" style="543"/>
    <col min="3841" max="3842" width="3.6640625" style="543" customWidth="1"/>
    <col min="3843" max="3843" width="10.109375" style="543" bestFit="1" customWidth="1"/>
    <col min="3844" max="3844" width="11.33203125" style="543" bestFit="1" customWidth="1"/>
    <col min="3845" max="3845" width="1.6640625" style="543" customWidth="1"/>
    <col min="3846" max="3846" width="11.44140625" style="543" bestFit="1" customWidth="1"/>
    <col min="3847" max="3847" width="2.6640625" style="543" customWidth="1"/>
    <col min="3848" max="3848" width="5.6640625" style="543" customWidth="1"/>
    <col min="3849" max="3849" width="1.6640625" style="543" customWidth="1"/>
    <col min="3850" max="3850" width="11.44140625" style="543" bestFit="1" customWidth="1"/>
    <col min="3851" max="3851" width="2.6640625" style="543" customWidth="1"/>
    <col min="3852" max="3852" width="5.6640625" style="543" customWidth="1"/>
    <col min="3853" max="3853" width="1.6640625" style="543" customWidth="1"/>
    <col min="3854" max="3854" width="11.44140625" style="543" bestFit="1" customWidth="1"/>
    <col min="3855" max="3855" width="2.6640625" style="543" customWidth="1"/>
    <col min="3856" max="3856" width="5.6640625" style="543" customWidth="1"/>
    <col min="3857" max="3857" width="1.6640625" style="543" customWidth="1"/>
    <col min="3858" max="3858" width="7.44140625" style="543" customWidth="1"/>
    <col min="3859" max="3859" width="6.33203125" style="543" customWidth="1"/>
    <col min="3860" max="3860" width="7.109375" style="543" bestFit="1" customWidth="1"/>
    <col min="3861" max="3861" width="9.33203125" style="543" bestFit="1" customWidth="1"/>
    <col min="3862" max="3862" width="1.6640625" style="543" customWidth="1"/>
    <col min="3863" max="3863" width="12.33203125" style="543" bestFit="1" customWidth="1"/>
    <col min="3864" max="4096" width="9.109375" style="543"/>
    <col min="4097" max="4098" width="3.6640625" style="543" customWidth="1"/>
    <col min="4099" max="4099" width="10.109375" style="543" bestFit="1" customWidth="1"/>
    <col min="4100" max="4100" width="11.33203125" style="543" bestFit="1" customWidth="1"/>
    <col min="4101" max="4101" width="1.6640625" style="543" customWidth="1"/>
    <col min="4102" max="4102" width="11.44140625" style="543" bestFit="1" customWidth="1"/>
    <col min="4103" max="4103" width="2.6640625" style="543" customWidth="1"/>
    <col min="4104" max="4104" width="5.6640625" style="543" customWidth="1"/>
    <col min="4105" max="4105" width="1.6640625" style="543" customWidth="1"/>
    <col min="4106" max="4106" width="11.44140625" style="543" bestFit="1" customWidth="1"/>
    <col min="4107" max="4107" width="2.6640625" style="543" customWidth="1"/>
    <col min="4108" max="4108" width="5.6640625" style="543" customWidth="1"/>
    <col min="4109" max="4109" width="1.6640625" style="543" customWidth="1"/>
    <col min="4110" max="4110" width="11.44140625" style="543" bestFit="1" customWidth="1"/>
    <col min="4111" max="4111" width="2.6640625" style="543" customWidth="1"/>
    <col min="4112" max="4112" width="5.6640625" style="543" customWidth="1"/>
    <col min="4113" max="4113" width="1.6640625" style="543" customWidth="1"/>
    <col min="4114" max="4114" width="7.44140625" style="543" customWidth="1"/>
    <col min="4115" max="4115" width="6.33203125" style="543" customWidth="1"/>
    <col min="4116" max="4116" width="7.109375" style="543" bestFit="1" customWidth="1"/>
    <col min="4117" max="4117" width="9.33203125" style="543" bestFit="1" customWidth="1"/>
    <col min="4118" max="4118" width="1.6640625" style="543" customWidth="1"/>
    <col min="4119" max="4119" width="12.33203125" style="543" bestFit="1" customWidth="1"/>
    <col min="4120" max="4352" width="9.109375" style="543"/>
    <col min="4353" max="4354" width="3.6640625" style="543" customWidth="1"/>
    <col min="4355" max="4355" width="10.109375" style="543" bestFit="1" customWidth="1"/>
    <col min="4356" max="4356" width="11.33203125" style="543" bestFit="1" customWidth="1"/>
    <col min="4357" max="4357" width="1.6640625" style="543" customWidth="1"/>
    <col min="4358" max="4358" width="11.44140625" style="543" bestFit="1" customWidth="1"/>
    <col min="4359" max="4359" width="2.6640625" style="543" customWidth="1"/>
    <col min="4360" max="4360" width="5.6640625" style="543" customWidth="1"/>
    <col min="4361" max="4361" width="1.6640625" style="543" customWidth="1"/>
    <col min="4362" max="4362" width="11.44140625" style="543" bestFit="1" customWidth="1"/>
    <col min="4363" max="4363" width="2.6640625" style="543" customWidth="1"/>
    <col min="4364" max="4364" width="5.6640625" style="543" customWidth="1"/>
    <col min="4365" max="4365" width="1.6640625" style="543" customWidth="1"/>
    <col min="4366" max="4366" width="11.44140625" style="543" bestFit="1" customWidth="1"/>
    <col min="4367" max="4367" width="2.6640625" style="543" customWidth="1"/>
    <col min="4368" max="4368" width="5.6640625" style="543" customWidth="1"/>
    <col min="4369" max="4369" width="1.6640625" style="543" customWidth="1"/>
    <col min="4370" max="4370" width="7.44140625" style="543" customWidth="1"/>
    <col min="4371" max="4371" width="6.33203125" style="543" customWidth="1"/>
    <col min="4372" max="4372" width="7.109375" style="543" bestFit="1" customWidth="1"/>
    <col min="4373" max="4373" width="9.33203125" style="543" bestFit="1" customWidth="1"/>
    <col min="4374" max="4374" width="1.6640625" style="543" customWidth="1"/>
    <col min="4375" max="4375" width="12.33203125" style="543" bestFit="1" customWidth="1"/>
    <col min="4376" max="4608" width="9.109375" style="543"/>
    <col min="4609" max="4610" width="3.6640625" style="543" customWidth="1"/>
    <col min="4611" max="4611" width="10.109375" style="543" bestFit="1" customWidth="1"/>
    <col min="4612" max="4612" width="11.33203125" style="543" bestFit="1" customWidth="1"/>
    <col min="4613" max="4613" width="1.6640625" style="543" customWidth="1"/>
    <col min="4614" max="4614" width="11.44140625" style="543" bestFit="1" customWidth="1"/>
    <col min="4615" max="4615" width="2.6640625" style="543" customWidth="1"/>
    <col min="4616" max="4616" width="5.6640625" style="543" customWidth="1"/>
    <col min="4617" max="4617" width="1.6640625" style="543" customWidth="1"/>
    <col min="4618" max="4618" width="11.44140625" style="543" bestFit="1" customWidth="1"/>
    <col min="4619" max="4619" width="2.6640625" style="543" customWidth="1"/>
    <col min="4620" max="4620" width="5.6640625" style="543" customWidth="1"/>
    <col min="4621" max="4621" width="1.6640625" style="543" customWidth="1"/>
    <col min="4622" max="4622" width="11.44140625" style="543" bestFit="1" customWidth="1"/>
    <col min="4623" max="4623" width="2.6640625" style="543" customWidth="1"/>
    <col min="4624" max="4624" width="5.6640625" style="543" customWidth="1"/>
    <col min="4625" max="4625" width="1.6640625" style="543" customWidth="1"/>
    <col min="4626" max="4626" width="7.44140625" style="543" customWidth="1"/>
    <col min="4627" max="4627" width="6.33203125" style="543" customWidth="1"/>
    <col min="4628" max="4628" width="7.109375" style="543" bestFit="1" customWidth="1"/>
    <col min="4629" max="4629" width="9.33203125" style="543" bestFit="1" customWidth="1"/>
    <col min="4630" max="4630" width="1.6640625" style="543" customWidth="1"/>
    <col min="4631" max="4631" width="12.33203125" style="543" bestFit="1" customWidth="1"/>
    <col min="4632" max="4864" width="9.109375" style="543"/>
    <col min="4865" max="4866" width="3.6640625" style="543" customWidth="1"/>
    <col min="4867" max="4867" width="10.109375" style="543" bestFit="1" customWidth="1"/>
    <col min="4868" max="4868" width="11.33203125" style="543" bestFit="1" customWidth="1"/>
    <col min="4869" max="4869" width="1.6640625" style="543" customWidth="1"/>
    <col min="4870" max="4870" width="11.44140625" style="543" bestFit="1" customWidth="1"/>
    <col min="4871" max="4871" width="2.6640625" style="543" customWidth="1"/>
    <col min="4872" max="4872" width="5.6640625" style="543" customWidth="1"/>
    <col min="4873" max="4873" width="1.6640625" style="543" customWidth="1"/>
    <col min="4874" max="4874" width="11.44140625" style="543" bestFit="1" customWidth="1"/>
    <col min="4875" max="4875" width="2.6640625" style="543" customWidth="1"/>
    <col min="4876" max="4876" width="5.6640625" style="543" customWidth="1"/>
    <col min="4877" max="4877" width="1.6640625" style="543" customWidth="1"/>
    <col min="4878" max="4878" width="11.44140625" style="543" bestFit="1" customWidth="1"/>
    <col min="4879" max="4879" width="2.6640625" style="543" customWidth="1"/>
    <col min="4880" max="4880" width="5.6640625" style="543" customWidth="1"/>
    <col min="4881" max="4881" width="1.6640625" style="543" customWidth="1"/>
    <col min="4882" max="4882" width="7.44140625" style="543" customWidth="1"/>
    <col min="4883" max="4883" width="6.33203125" style="543" customWidth="1"/>
    <col min="4884" max="4884" width="7.109375" style="543" bestFit="1" customWidth="1"/>
    <col min="4885" max="4885" width="9.33203125" style="543" bestFit="1" customWidth="1"/>
    <col min="4886" max="4886" width="1.6640625" style="543" customWidth="1"/>
    <col min="4887" max="4887" width="12.33203125" style="543" bestFit="1" customWidth="1"/>
    <col min="4888" max="5120" width="9.109375" style="543"/>
    <col min="5121" max="5122" width="3.6640625" style="543" customWidth="1"/>
    <col min="5123" max="5123" width="10.109375" style="543" bestFit="1" customWidth="1"/>
    <col min="5124" max="5124" width="11.33203125" style="543" bestFit="1" customWidth="1"/>
    <col min="5125" max="5125" width="1.6640625" style="543" customWidth="1"/>
    <col min="5126" max="5126" width="11.44140625" style="543" bestFit="1" customWidth="1"/>
    <col min="5127" max="5127" width="2.6640625" style="543" customWidth="1"/>
    <col min="5128" max="5128" width="5.6640625" style="543" customWidth="1"/>
    <col min="5129" max="5129" width="1.6640625" style="543" customWidth="1"/>
    <col min="5130" max="5130" width="11.44140625" style="543" bestFit="1" customWidth="1"/>
    <col min="5131" max="5131" width="2.6640625" style="543" customWidth="1"/>
    <col min="5132" max="5132" width="5.6640625" style="543" customWidth="1"/>
    <col min="5133" max="5133" width="1.6640625" style="543" customWidth="1"/>
    <col min="5134" max="5134" width="11.44140625" style="543" bestFit="1" customWidth="1"/>
    <col min="5135" max="5135" width="2.6640625" style="543" customWidth="1"/>
    <col min="5136" max="5136" width="5.6640625" style="543" customWidth="1"/>
    <col min="5137" max="5137" width="1.6640625" style="543" customWidth="1"/>
    <col min="5138" max="5138" width="7.44140625" style="543" customWidth="1"/>
    <col min="5139" max="5139" width="6.33203125" style="543" customWidth="1"/>
    <col min="5140" max="5140" width="7.109375" style="543" bestFit="1" customWidth="1"/>
    <col min="5141" max="5141" width="9.33203125" style="543" bestFit="1" customWidth="1"/>
    <col min="5142" max="5142" width="1.6640625" style="543" customWidth="1"/>
    <col min="5143" max="5143" width="12.33203125" style="543" bestFit="1" customWidth="1"/>
    <col min="5144" max="5376" width="9.109375" style="543"/>
    <col min="5377" max="5378" width="3.6640625" style="543" customWidth="1"/>
    <col min="5379" max="5379" width="10.109375" style="543" bestFit="1" customWidth="1"/>
    <col min="5380" max="5380" width="11.33203125" style="543" bestFit="1" customWidth="1"/>
    <col min="5381" max="5381" width="1.6640625" style="543" customWidth="1"/>
    <col min="5382" max="5382" width="11.44140625" style="543" bestFit="1" customWidth="1"/>
    <col min="5383" max="5383" width="2.6640625" style="543" customWidth="1"/>
    <col min="5384" max="5384" width="5.6640625" style="543" customWidth="1"/>
    <col min="5385" max="5385" width="1.6640625" style="543" customWidth="1"/>
    <col min="5386" max="5386" width="11.44140625" style="543" bestFit="1" customWidth="1"/>
    <col min="5387" max="5387" width="2.6640625" style="543" customWidth="1"/>
    <col min="5388" max="5388" width="5.6640625" style="543" customWidth="1"/>
    <col min="5389" max="5389" width="1.6640625" style="543" customWidth="1"/>
    <col min="5390" max="5390" width="11.44140625" style="543" bestFit="1" customWidth="1"/>
    <col min="5391" max="5391" width="2.6640625" style="543" customWidth="1"/>
    <col min="5392" max="5392" width="5.6640625" style="543" customWidth="1"/>
    <col min="5393" max="5393" width="1.6640625" style="543" customWidth="1"/>
    <col min="5394" max="5394" width="7.44140625" style="543" customWidth="1"/>
    <col min="5395" max="5395" width="6.33203125" style="543" customWidth="1"/>
    <col min="5396" max="5396" width="7.109375" style="543" bestFit="1" customWidth="1"/>
    <col min="5397" max="5397" width="9.33203125" style="543" bestFit="1" customWidth="1"/>
    <col min="5398" max="5398" width="1.6640625" style="543" customWidth="1"/>
    <col min="5399" max="5399" width="12.33203125" style="543" bestFit="1" customWidth="1"/>
    <col min="5400" max="5632" width="9.109375" style="543"/>
    <col min="5633" max="5634" width="3.6640625" style="543" customWidth="1"/>
    <col min="5635" max="5635" width="10.109375" style="543" bestFit="1" customWidth="1"/>
    <col min="5636" max="5636" width="11.33203125" style="543" bestFit="1" customWidth="1"/>
    <col min="5637" max="5637" width="1.6640625" style="543" customWidth="1"/>
    <col min="5638" max="5638" width="11.44140625" style="543" bestFit="1" customWidth="1"/>
    <col min="5639" max="5639" width="2.6640625" style="543" customWidth="1"/>
    <col min="5640" max="5640" width="5.6640625" style="543" customWidth="1"/>
    <col min="5641" max="5641" width="1.6640625" style="543" customWidth="1"/>
    <col min="5642" max="5642" width="11.44140625" style="543" bestFit="1" customWidth="1"/>
    <col min="5643" max="5643" width="2.6640625" style="543" customWidth="1"/>
    <col min="5644" max="5644" width="5.6640625" style="543" customWidth="1"/>
    <col min="5645" max="5645" width="1.6640625" style="543" customWidth="1"/>
    <col min="5646" max="5646" width="11.44140625" style="543" bestFit="1" customWidth="1"/>
    <col min="5647" max="5647" width="2.6640625" style="543" customWidth="1"/>
    <col min="5648" max="5648" width="5.6640625" style="543" customWidth="1"/>
    <col min="5649" max="5649" width="1.6640625" style="543" customWidth="1"/>
    <col min="5650" max="5650" width="7.44140625" style="543" customWidth="1"/>
    <col min="5651" max="5651" width="6.33203125" style="543" customWidth="1"/>
    <col min="5652" max="5652" width="7.109375" style="543" bestFit="1" customWidth="1"/>
    <col min="5653" max="5653" width="9.33203125" style="543" bestFit="1" customWidth="1"/>
    <col min="5654" max="5654" width="1.6640625" style="543" customWidth="1"/>
    <col min="5655" max="5655" width="12.33203125" style="543" bestFit="1" customWidth="1"/>
    <col min="5656" max="5888" width="9.109375" style="543"/>
    <col min="5889" max="5890" width="3.6640625" style="543" customWidth="1"/>
    <col min="5891" max="5891" width="10.109375" style="543" bestFit="1" customWidth="1"/>
    <col min="5892" max="5892" width="11.33203125" style="543" bestFit="1" customWidth="1"/>
    <col min="5893" max="5893" width="1.6640625" style="543" customWidth="1"/>
    <col min="5894" max="5894" width="11.44140625" style="543" bestFit="1" customWidth="1"/>
    <col min="5895" max="5895" width="2.6640625" style="543" customWidth="1"/>
    <col min="5896" max="5896" width="5.6640625" style="543" customWidth="1"/>
    <col min="5897" max="5897" width="1.6640625" style="543" customWidth="1"/>
    <col min="5898" max="5898" width="11.44140625" style="543" bestFit="1" customWidth="1"/>
    <col min="5899" max="5899" width="2.6640625" style="543" customWidth="1"/>
    <col min="5900" max="5900" width="5.6640625" style="543" customWidth="1"/>
    <col min="5901" max="5901" width="1.6640625" style="543" customWidth="1"/>
    <col min="5902" max="5902" width="11.44140625" style="543" bestFit="1" customWidth="1"/>
    <col min="5903" max="5903" width="2.6640625" style="543" customWidth="1"/>
    <col min="5904" max="5904" width="5.6640625" style="543" customWidth="1"/>
    <col min="5905" max="5905" width="1.6640625" style="543" customWidth="1"/>
    <col min="5906" max="5906" width="7.44140625" style="543" customWidth="1"/>
    <col min="5907" max="5907" width="6.33203125" style="543" customWidth="1"/>
    <col min="5908" max="5908" width="7.109375" style="543" bestFit="1" customWidth="1"/>
    <col min="5909" max="5909" width="9.33203125" style="543" bestFit="1" customWidth="1"/>
    <col min="5910" max="5910" width="1.6640625" style="543" customWidth="1"/>
    <col min="5911" max="5911" width="12.33203125" style="543" bestFit="1" customWidth="1"/>
    <col min="5912" max="6144" width="9.109375" style="543"/>
    <col min="6145" max="6146" width="3.6640625" style="543" customWidth="1"/>
    <col min="6147" max="6147" width="10.109375" style="543" bestFit="1" customWidth="1"/>
    <col min="6148" max="6148" width="11.33203125" style="543" bestFit="1" customWidth="1"/>
    <col min="6149" max="6149" width="1.6640625" style="543" customWidth="1"/>
    <col min="6150" max="6150" width="11.44140625" style="543" bestFit="1" customWidth="1"/>
    <col min="6151" max="6151" width="2.6640625" style="543" customWidth="1"/>
    <col min="6152" max="6152" width="5.6640625" style="543" customWidth="1"/>
    <col min="6153" max="6153" width="1.6640625" style="543" customWidth="1"/>
    <col min="6154" max="6154" width="11.44140625" style="543" bestFit="1" customWidth="1"/>
    <col min="6155" max="6155" width="2.6640625" style="543" customWidth="1"/>
    <col min="6156" max="6156" width="5.6640625" style="543" customWidth="1"/>
    <col min="6157" max="6157" width="1.6640625" style="543" customWidth="1"/>
    <col min="6158" max="6158" width="11.44140625" style="543" bestFit="1" customWidth="1"/>
    <col min="6159" max="6159" width="2.6640625" style="543" customWidth="1"/>
    <col min="6160" max="6160" width="5.6640625" style="543" customWidth="1"/>
    <col min="6161" max="6161" width="1.6640625" style="543" customWidth="1"/>
    <col min="6162" max="6162" width="7.44140625" style="543" customWidth="1"/>
    <col min="6163" max="6163" width="6.33203125" style="543" customWidth="1"/>
    <col min="6164" max="6164" width="7.109375" style="543" bestFit="1" customWidth="1"/>
    <col min="6165" max="6165" width="9.33203125" style="543" bestFit="1" customWidth="1"/>
    <col min="6166" max="6166" width="1.6640625" style="543" customWidth="1"/>
    <col min="6167" max="6167" width="12.33203125" style="543" bestFit="1" customWidth="1"/>
    <col min="6168" max="6400" width="9.109375" style="543"/>
    <col min="6401" max="6402" width="3.6640625" style="543" customWidth="1"/>
    <col min="6403" max="6403" width="10.109375" style="543" bestFit="1" customWidth="1"/>
    <col min="6404" max="6404" width="11.33203125" style="543" bestFit="1" customWidth="1"/>
    <col min="6405" max="6405" width="1.6640625" style="543" customWidth="1"/>
    <col min="6406" max="6406" width="11.44140625" style="543" bestFit="1" customWidth="1"/>
    <col min="6407" max="6407" width="2.6640625" style="543" customWidth="1"/>
    <col min="6408" max="6408" width="5.6640625" style="543" customWidth="1"/>
    <col min="6409" max="6409" width="1.6640625" style="543" customWidth="1"/>
    <col min="6410" max="6410" width="11.44140625" style="543" bestFit="1" customWidth="1"/>
    <col min="6411" max="6411" width="2.6640625" style="543" customWidth="1"/>
    <col min="6412" max="6412" width="5.6640625" style="543" customWidth="1"/>
    <col min="6413" max="6413" width="1.6640625" style="543" customWidth="1"/>
    <col min="6414" max="6414" width="11.44140625" style="543" bestFit="1" customWidth="1"/>
    <col min="6415" max="6415" width="2.6640625" style="543" customWidth="1"/>
    <col min="6416" max="6416" width="5.6640625" style="543" customWidth="1"/>
    <col min="6417" max="6417" width="1.6640625" style="543" customWidth="1"/>
    <col min="6418" max="6418" width="7.44140625" style="543" customWidth="1"/>
    <col min="6419" max="6419" width="6.33203125" style="543" customWidth="1"/>
    <col min="6420" max="6420" width="7.109375" style="543" bestFit="1" customWidth="1"/>
    <col min="6421" max="6421" width="9.33203125" style="543" bestFit="1" customWidth="1"/>
    <col min="6422" max="6422" width="1.6640625" style="543" customWidth="1"/>
    <col min="6423" max="6423" width="12.33203125" style="543" bestFit="1" customWidth="1"/>
    <col min="6424" max="6656" width="9.109375" style="543"/>
    <col min="6657" max="6658" width="3.6640625" style="543" customWidth="1"/>
    <col min="6659" max="6659" width="10.109375" style="543" bestFit="1" customWidth="1"/>
    <col min="6660" max="6660" width="11.33203125" style="543" bestFit="1" customWidth="1"/>
    <col min="6661" max="6661" width="1.6640625" style="543" customWidth="1"/>
    <col min="6662" max="6662" width="11.44140625" style="543" bestFit="1" customWidth="1"/>
    <col min="6663" max="6663" width="2.6640625" style="543" customWidth="1"/>
    <col min="6664" max="6664" width="5.6640625" style="543" customWidth="1"/>
    <col min="6665" max="6665" width="1.6640625" style="543" customWidth="1"/>
    <col min="6666" max="6666" width="11.44140625" style="543" bestFit="1" customWidth="1"/>
    <col min="6667" max="6667" width="2.6640625" style="543" customWidth="1"/>
    <col min="6668" max="6668" width="5.6640625" style="543" customWidth="1"/>
    <col min="6669" max="6669" width="1.6640625" style="543" customWidth="1"/>
    <col min="6670" max="6670" width="11.44140625" style="543" bestFit="1" customWidth="1"/>
    <col min="6671" max="6671" width="2.6640625" style="543" customWidth="1"/>
    <col min="6672" max="6672" width="5.6640625" style="543" customWidth="1"/>
    <col min="6673" max="6673" width="1.6640625" style="543" customWidth="1"/>
    <col min="6674" max="6674" width="7.44140625" style="543" customWidth="1"/>
    <col min="6675" max="6675" width="6.33203125" style="543" customWidth="1"/>
    <col min="6676" max="6676" width="7.109375" style="543" bestFit="1" customWidth="1"/>
    <col min="6677" max="6677" width="9.33203125" style="543" bestFit="1" customWidth="1"/>
    <col min="6678" max="6678" width="1.6640625" style="543" customWidth="1"/>
    <col min="6679" max="6679" width="12.33203125" style="543" bestFit="1" customWidth="1"/>
    <col min="6680" max="6912" width="9.109375" style="543"/>
    <col min="6913" max="6914" width="3.6640625" style="543" customWidth="1"/>
    <col min="6915" max="6915" width="10.109375" style="543" bestFit="1" customWidth="1"/>
    <col min="6916" max="6916" width="11.33203125" style="543" bestFit="1" customWidth="1"/>
    <col min="6917" max="6917" width="1.6640625" style="543" customWidth="1"/>
    <col min="6918" max="6918" width="11.44140625" style="543" bestFit="1" customWidth="1"/>
    <col min="6919" max="6919" width="2.6640625" style="543" customWidth="1"/>
    <col min="6920" max="6920" width="5.6640625" style="543" customWidth="1"/>
    <col min="6921" max="6921" width="1.6640625" style="543" customWidth="1"/>
    <col min="6922" max="6922" width="11.44140625" style="543" bestFit="1" customWidth="1"/>
    <col min="6923" max="6923" width="2.6640625" style="543" customWidth="1"/>
    <col min="6924" max="6924" width="5.6640625" style="543" customWidth="1"/>
    <col min="6925" max="6925" width="1.6640625" style="543" customWidth="1"/>
    <col min="6926" max="6926" width="11.44140625" style="543" bestFit="1" customWidth="1"/>
    <col min="6927" max="6927" width="2.6640625" style="543" customWidth="1"/>
    <col min="6928" max="6928" width="5.6640625" style="543" customWidth="1"/>
    <col min="6929" max="6929" width="1.6640625" style="543" customWidth="1"/>
    <col min="6930" max="6930" width="7.44140625" style="543" customWidth="1"/>
    <col min="6931" max="6931" width="6.33203125" style="543" customWidth="1"/>
    <col min="6932" max="6932" width="7.109375" style="543" bestFit="1" customWidth="1"/>
    <col min="6933" max="6933" width="9.33203125" style="543" bestFit="1" customWidth="1"/>
    <col min="6934" max="6934" width="1.6640625" style="543" customWidth="1"/>
    <col min="6935" max="6935" width="12.33203125" style="543" bestFit="1" customWidth="1"/>
    <col min="6936" max="7168" width="9.109375" style="543"/>
    <col min="7169" max="7170" width="3.6640625" style="543" customWidth="1"/>
    <col min="7171" max="7171" width="10.109375" style="543" bestFit="1" customWidth="1"/>
    <col min="7172" max="7172" width="11.33203125" style="543" bestFit="1" customWidth="1"/>
    <col min="7173" max="7173" width="1.6640625" style="543" customWidth="1"/>
    <col min="7174" max="7174" width="11.44140625" style="543" bestFit="1" customWidth="1"/>
    <col min="7175" max="7175" width="2.6640625" style="543" customWidth="1"/>
    <col min="7176" max="7176" width="5.6640625" style="543" customWidth="1"/>
    <col min="7177" max="7177" width="1.6640625" style="543" customWidth="1"/>
    <col min="7178" max="7178" width="11.44140625" style="543" bestFit="1" customWidth="1"/>
    <col min="7179" max="7179" width="2.6640625" style="543" customWidth="1"/>
    <col min="7180" max="7180" width="5.6640625" style="543" customWidth="1"/>
    <col min="7181" max="7181" width="1.6640625" style="543" customWidth="1"/>
    <col min="7182" max="7182" width="11.44140625" style="543" bestFit="1" customWidth="1"/>
    <col min="7183" max="7183" width="2.6640625" style="543" customWidth="1"/>
    <col min="7184" max="7184" width="5.6640625" style="543" customWidth="1"/>
    <col min="7185" max="7185" width="1.6640625" style="543" customWidth="1"/>
    <col min="7186" max="7186" width="7.44140625" style="543" customWidth="1"/>
    <col min="7187" max="7187" width="6.33203125" style="543" customWidth="1"/>
    <col min="7188" max="7188" width="7.109375" style="543" bestFit="1" customWidth="1"/>
    <col min="7189" max="7189" width="9.33203125" style="543" bestFit="1" customWidth="1"/>
    <col min="7190" max="7190" width="1.6640625" style="543" customWidth="1"/>
    <col min="7191" max="7191" width="12.33203125" style="543" bestFit="1" customWidth="1"/>
    <col min="7192" max="7424" width="9.109375" style="543"/>
    <col min="7425" max="7426" width="3.6640625" style="543" customWidth="1"/>
    <col min="7427" max="7427" width="10.109375" style="543" bestFit="1" customWidth="1"/>
    <col min="7428" max="7428" width="11.33203125" style="543" bestFit="1" customWidth="1"/>
    <col min="7429" max="7429" width="1.6640625" style="543" customWidth="1"/>
    <col min="7430" max="7430" width="11.44140625" style="543" bestFit="1" customWidth="1"/>
    <col min="7431" max="7431" width="2.6640625" style="543" customWidth="1"/>
    <col min="7432" max="7432" width="5.6640625" style="543" customWidth="1"/>
    <col min="7433" max="7433" width="1.6640625" style="543" customWidth="1"/>
    <col min="7434" max="7434" width="11.44140625" style="543" bestFit="1" customWidth="1"/>
    <col min="7435" max="7435" width="2.6640625" style="543" customWidth="1"/>
    <col min="7436" max="7436" width="5.6640625" style="543" customWidth="1"/>
    <col min="7437" max="7437" width="1.6640625" style="543" customWidth="1"/>
    <col min="7438" max="7438" width="11.44140625" style="543" bestFit="1" customWidth="1"/>
    <col min="7439" max="7439" width="2.6640625" style="543" customWidth="1"/>
    <col min="7440" max="7440" width="5.6640625" style="543" customWidth="1"/>
    <col min="7441" max="7441" width="1.6640625" style="543" customWidth="1"/>
    <col min="7442" max="7442" width="7.44140625" style="543" customWidth="1"/>
    <col min="7443" max="7443" width="6.33203125" style="543" customWidth="1"/>
    <col min="7444" max="7444" width="7.109375" style="543" bestFit="1" customWidth="1"/>
    <col min="7445" max="7445" width="9.33203125" style="543" bestFit="1" customWidth="1"/>
    <col min="7446" max="7446" width="1.6640625" style="543" customWidth="1"/>
    <col min="7447" max="7447" width="12.33203125" style="543" bestFit="1" customWidth="1"/>
    <col min="7448" max="7680" width="9.109375" style="543"/>
    <col min="7681" max="7682" width="3.6640625" style="543" customWidth="1"/>
    <col min="7683" max="7683" width="10.109375" style="543" bestFit="1" customWidth="1"/>
    <col min="7684" max="7684" width="11.33203125" style="543" bestFit="1" customWidth="1"/>
    <col min="7685" max="7685" width="1.6640625" style="543" customWidth="1"/>
    <col min="7686" max="7686" width="11.44140625" style="543" bestFit="1" customWidth="1"/>
    <col min="7687" max="7687" width="2.6640625" style="543" customWidth="1"/>
    <col min="7688" max="7688" width="5.6640625" style="543" customWidth="1"/>
    <col min="7689" max="7689" width="1.6640625" style="543" customWidth="1"/>
    <col min="7690" max="7690" width="11.44140625" style="543" bestFit="1" customWidth="1"/>
    <col min="7691" max="7691" width="2.6640625" style="543" customWidth="1"/>
    <col min="7692" max="7692" width="5.6640625" style="543" customWidth="1"/>
    <col min="7693" max="7693" width="1.6640625" style="543" customWidth="1"/>
    <col min="7694" max="7694" width="11.44140625" style="543" bestFit="1" customWidth="1"/>
    <col min="7695" max="7695" width="2.6640625" style="543" customWidth="1"/>
    <col min="7696" max="7696" width="5.6640625" style="543" customWidth="1"/>
    <col min="7697" max="7697" width="1.6640625" style="543" customWidth="1"/>
    <col min="7698" max="7698" width="7.44140625" style="543" customWidth="1"/>
    <col min="7699" max="7699" width="6.33203125" style="543" customWidth="1"/>
    <col min="7700" max="7700" width="7.109375" style="543" bestFit="1" customWidth="1"/>
    <col min="7701" max="7701" width="9.33203125" style="543" bestFit="1" customWidth="1"/>
    <col min="7702" max="7702" width="1.6640625" style="543" customWidth="1"/>
    <col min="7703" max="7703" width="12.33203125" style="543" bestFit="1" customWidth="1"/>
    <col min="7704" max="7936" width="9.109375" style="543"/>
    <col min="7937" max="7938" width="3.6640625" style="543" customWidth="1"/>
    <col min="7939" max="7939" width="10.109375" style="543" bestFit="1" customWidth="1"/>
    <col min="7940" max="7940" width="11.33203125" style="543" bestFit="1" customWidth="1"/>
    <col min="7941" max="7941" width="1.6640625" style="543" customWidth="1"/>
    <col min="7942" max="7942" width="11.44140625" style="543" bestFit="1" customWidth="1"/>
    <col min="7943" max="7943" width="2.6640625" style="543" customWidth="1"/>
    <col min="7944" max="7944" width="5.6640625" style="543" customWidth="1"/>
    <col min="7945" max="7945" width="1.6640625" style="543" customWidth="1"/>
    <col min="7946" max="7946" width="11.44140625" style="543" bestFit="1" customWidth="1"/>
    <col min="7947" max="7947" width="2.6640625" style="543" customWidth="1"/>
    <col min="7948" max="7948" width="5.6640625" style="543" customWidth="1"/>
    <col min="7949" max="7949" width="1.6640625" style="543" customWidth="1"/>
    <col min="7950" max="7950" width="11.44140625" style="543" bestFit="1" customWidth="1"/>
    <col min="7951" max="7951" width="2.6640625" style="543" customWidth="1"/>
    <col min="7952" max="7952" width="5.6640625" style="543" customWidth="1"/>
    <col min="7953" max="7953" width="1.6640625" style="543" customWidth="1"/>
    <col min="7954" max="7954" width="7.44140625" style="543" customWidth="1"/>
    <col min="7955" max="7955" width="6.33203125" style="543" customWidth="1"/>
    <col min="7956" max="7956" width="7.109375" style="543" bestFit="1" customWidth="1"/>
    <col min="7957" max="7957" width="9.33203125" style="543" bestFit="1" customWidth="1"/>
    <col min="7958" max="7958" width="1.6640625" style="543" customWidth="1"/>
    <col min="7959" max="7959" width="12.33203125" style="543" bestFit="1" customWidth="1"/>
    <col min="7960" max="8192" width="9.109375" style="543"/>
    <col min="8193" max="8194" width="3.6640625" style="543" customWidth="1"/>
    <col min="8195" max="8195" width="10.109375" style="543" bestFit="1" customWidth="1"/>
    <col min="8196" max="8196" width="11.33203125" style="543" bestFit="1" customWidth="1"/>
    <col min="8197" max="8197" width="1.6640625" style="543" customWidth="1"/>
    <col min="8198" max="8198" width="11.44140625" style="543" bestFit="1" customWidth="1"/>
    <col min="8199" max="8199" width="2.6640625" style="543" customWidth="1"/>
    <col min="8200" max="8200" width="5.6640625" style="543" customWidth="1"/>
    <col min="8201" max="8201" width="1.6640625" style="543" customWidth="1"/>
    <col min="8202" max="8202" width="11.44140625" style="543" bestFit="1" customWidth="1"/>
    <col min="8203" max="8203" width="2.6640625" style="543" customWidth="1"/>
    <col min="8204" max="8204" width="5.6640625" style="543" customWidth="1"/>
    <col min="8205" max="8205" width="1.6640625" style="543" customWidth="1"/>
    <col min="8206" max="8206" width="11.44140625" style="543" bestFit="1" customWidth="1"/>
    <col min="8207" max="8207" width="2.6640625" style="543" customWidth="1"/>
    <col min="8208" max="8208" width="5.6640625" style="543" customWidth="1"/>
    <col min="8209" max="8209" width="1.6640625" style="543" customWidth="1"/>
    <col min="8210" max="8210" width="7.44140625" style="543" customWidth="1"/>
    <col min="8211" max="8211" width="6.33203125" style="543" customWidth="1"/>
    <col min="8212" max="8212" width="7.109375" style="543" bestFit="1" customWidth="1"/>
    <col min="8213" max="8213" width="9.33203125" style="543" bestFit="1" customWidth="1"/>
    <col min="8214" max="8214" width="1.6640625" style="543" customWidth="1"/>
    <col min="8215" max="8215" width="12.33203125" style="543" bestFit="1" customWidth="1"/>
    <col min="8216" max="8448" width="9.109375" style="543"/>
    <col min="8449" max="8450" width="3.6640625" style="543" customWidth="1"/>
    <col min="8451" max="8451" width="10.109375" style="543" bestFit="1" customWidth="1"/>
    <col min="8452" max="8452" width="11.33203125" style="543" bestFit="1" customWidth="1"/>
    <col min="8453" max="8453" width="1.6640625" style="543" customWidth="1"/>
    <col min="8454" max="8454" width="11.44140625" style="543" bestFit="1" customWidth="1"/>
    <col min="8455" max="8455" width="2.6640625" style="543" customWidth="1"/>
    <col min="8456" max="8456" width="5.6640625" style="543" customWidth="1"/>
    <col min="8457" max="8457" width="1.6640625" style="543" customWidth="1"/>
    <col min="8458" max="8458" width="11.44140625" style="543" bestFit="1" customWidth="1"/>
    <col min="8459" max="8459" width="2.6640625" style="543" customWidth="1"/>
    <col min="8460" max="8460" width="5.6640625" style="543" customWidth="1"/>
    <col min="8461" max="8461" width="1.6640625" style="543" customWidth="1"/>
    <col min="8462" max="8462" width="11.44140625" style="543" bestFit="1" customWidth="1"/>
    <col min="8463" max="8463" width="2.6640625" style="543" customWidth="1"/>
    <col min="8464" max="8464" width="5.6640625" style="543" customWidth="1"/>
    <col min="8465" max="8465" width="1.6640625" style="543" customWidth="1"/>
    <col min="8466" max="8466" width="7.44140625" style="543" customWidth="1"/>
    <col min="8467" max="8467" width="6.33203125" style="543" customWidth="1"/>
    <col min="8468" max="8468" width="7.109375" style="543" bestFit="1" customWidth="1"/>
    <col min="8469" max="8469" width="9.33203125" style="543" bestFit="1" customWidth="1"/>
    <col min="8470" max="8470" width="1.6640625" style="543" customWidth="1"/>
    <col min="8471" max="8471" width="12.33203125" style="543" bestFit="1" customWidth="1"/>
    <col min="8472" max="8704" width="9.109375" style="543"/>
    <col min="8705" max="8706" width="3.6640625" style="543" customWidth="1"/>
    <col min="8707" max="8707" width="10.109375" style="543" bestFit="1" customWidth="1"/>
    <col min="8708" max="8708" width="11.33203125" style="543" bestFit="1" customWidth="1"/>
    <col min="8709" max="8709" width="1.6640625" style="543" customWidth="1"/>
    <col min="8710" max="8710" width="11.44140625" style="543" bestFit="1" customWidth="1"/>
    <col min="8711" max="8711" width="2.6640625" style="543" customWidth="1"/>
    <col min="8712" max="8712" width="5.6640625" style="543" customWidth="1"/>
    <col min="8713" max="8713" width="1.6640625" style="543" customWidth="1"/>
    <col min="8714" max="8714" width="11.44140625" style="543" bestFit="1" customWidth="1"/>
    <col min="8715" max="8715" width="2.6640625" style="543" customWidth="1"/>
    <col min="8716" max="8716" width="5.6640625" style="543" customWidth="1"/>
    <col min="8717" max="8717" width="1.6640625" style="543" customWidth="1"/>
    <col min="8718" max="8718" width="11.44140625" style="543" bestFit="1" customWidth="1"/>
    <col min="8719" max="8719" width="2.6640625" style="543" customWidth="1"/>
    <col min="8720" max="8720" width="5.6640625" style="543" customWidth="1"/>
    <col min="8721" max="8721" width="1.6640625" style="543" customWidth="1"/>
    <col min="8722" max="8722" width="7.44140625" style="543" customWidth="1"/>
    <col min="8723" max="8723" width="6.33203125" style="543" customWidth="1"/>
    <col min="8724" max="8724" width="7.109375" style="543" bestFit="1" customWidth="1"/>
    <col min="8725" max="8725" width="9.33203125" style="543" bestFit="1" customWidth="1"/>
    <col min="8726" max="8726" width="1.6640625" style="543" customWidth="1"/>
    <col min="8727" max="8727" width="12.33203125" style="543" bestFit="1" customWidth="1"/>
    <col min="8728" max="8960" width="9.109375" style="543"/>
    <col min="8961" max="8962" width="3.6640625" style="543" customWidth="1"/>
    <col min="8963" max="8963" width="10.109375" style="543" bestFit="1" customWidth="1"/>
    <col min="8964" max="8964" width="11.33203125" style="543" bestFit="1" customWidth="1"/>
    <col min="8965" max="8965" width="1.6640625" style="543" customWidth="1"/>
    <col min="8966" max="8966" width="11.44140625" style="543" bestFit="1" customWidth="1"/>
    <col min="8967" max="8967" width="2.6640625" style="543" customWidth="1"/>
    <col min="8968" max="8968" width="5.6640625" style="543" customWidth="1"/>
    <col min="8969" max="8969" width="1.6640625" style="543" customWidth="1"/>
    <col min="8970" max="8970" width="11.44140625" style="543" bestFit="1" customWidth="1"/>
    <col min="8971" max="8971" width="2.6640625" style="543" customWidth="1"/>
    <col min="8972" max="8972" width="5.6640625" style="543" customWidth="1"/>
    <col min="8973" max="8973" width="1.6640625" style="543" customWidth="1"/>
    <col min="8974" max="8974" width="11.44140625" style="543" bestFit="1" customWidth="1"/>
    <col min="8975" max="8975" width="2.6640625" style="543" customWidth="1"/>
    <col min="8976" max="8976" width="5.6640625" style="543" customWidth="1"/>
    <col min="8977" max="8977" width="1.6640625" style="543" customWidth="1"/>
    <col min="8978" max="8978" width="7.44140625" style="543" customWidth="1"/>
    <col min="8979" max="8979" width="6.33203125" style="543" customWidth="1"/>
    <col min="8980" max="8980" width="7.109375" style="543" bestFit="1" customWidth="1"/>
    <col min="8981" max="8981" width="9.33203125" style="543" bestFit="1" customWidth="1"/>
    <col min="8982" max="8982" width="1.6640625" style="543" customWidth="1"/>
    <col min="8983" max="8983" width="12.33203125" style="543" bestFit="1" customWidth="1"/>
    <col min="8984" max="9216" width="9.109375" style="543"/>
    <col min="9217" max="9218" width="3.6640625" style="543" customWidth="1"/>
    <col min="9219" max="9219" width="10.109375" style="543" bestFit="1" customWidth="1"/>
    <col min="9220" max="9220" width="11.33203125" style="543" bestFit="1" customWidth="1"/>
    <col min="9221" max="9221" width="1.6640625" style="543" customWidth="1"/>
    <col min="9222" max="9222" width="11.44140625" style="543" bestFit="1" customWidth="1"/>
    <col min="9223" max="9223" width="2.6640625" style="543" customWidth="1"/>
    <col min="9224" max="9224" width="5.6640625" style="543" customWidth="1"/>
    <col min="9225" max="9225" width="1.6640625" style="543" customWidth="1"/>
    <col min="9226" max="9226" width="11.44140625" style="543" bestFit="1" customWidth="1"/>
    <col min="9227" max="9227" width="2.6640625" style="543" customWidth="1"/>
    <col min="9228" max="9228" width="5.6640625" style="543" customWidth="1"/>
    <col min="9229" max="9229" width="1.6640625" style="543" customWidth="1"/>
    <col min="9230" max="9230" width="11.44140625" style="543" bestFit="1" customWidth="1"/>
    <col min="9231" max="9231" width="2.6640625" style="543" customWidth="1"/>
    <col min="9232" max="9232" width="5.6640625" style="543" customWidth="1"/>
    <col min="9233" max="9233" width="1.6640625" style="543" customWidth="1"/>
    <col min="9234" max="9234" width="7.44140625" style="543" customWidth="1"/>
    <col min="9235" max="9235" width="6.33203125" style="543" customWidth="1"/>
    <col min="9236" max="9236" width="7.109375" style="543" bestFit="1" customWidth="1"/>
    <col min="9237" max="9237" width="9.33203125" style="543" bestFit="1" customWidth="1"/>
    <col min="9238" max="9238" width="1.6640625" style="543" customWidth="1"/>
    <col min="9239" max="9239" width="12.33203125" style="543" bestFit="1" customWidth="1"/>
    <col min="9240" max="9472" width="9.109375" style="543"/>
    <col min="9473" max="9474" width="3.6640625" style="543" customWidth="1"/>
    <col min="9475" max="9475" width="10.109375" style="543" bestFit="1" customWidth="1"/>
    <col min="9476" max="9476" width="11.33203125" style="543" bestFit="1" customWidth="1"/>
    <col min="9477" max="9477" width="1.6640625" style="543" customWidth="1"/>
    <col min="9478" max="9478" width="11.44140625" style="543" bestFit="1" customWidth="1"/>
    <col min="9479" max="9479" width="2.6640625" style="543" customWidth="1"/>
    <col min="9480" max="9480" width="5.6640625" style="543" customWidth="1"/>
    <col min="9481" max="9481" width="1.6640625" style="543" customWidth="1"/>
    <col min="9482" max="9482" width="11.44140625" style="543" bestFit="1" customWidth="1"/>
    <col min="9483" max="9483" width="2.6640625" style="543" customWidth="1"/>
    <col min="9484" max="9484" width="5.6640625" style="543" customWidth="1"/>
    <col min="9485" max="9485" width="1.6640625" style="543" customWidth="1"/>
    <col min="9486" max="9486" width="11.44140625" style="543" bestFit="1" customWidth="1"/>
    <col min="9487" max="9487" width="2.6640625" style="543" customWidth="1"/>
    <col min="9488" max="9488" width="5.6640625" style="543" customWidth="1"/>
    <col min="9489" max="9489" width="1.6640625" style="543" customWidth="1"/>
    <col min="9490" max="9490" width="7.44140625" style="543" customWidth="1"/>
    <col min="9491" max="9491" width="6.33203125" style="543" customWidth="1"/>
    <col min="9492" max="9492" width="7.109375" style="543" bestFit="1" customWidth="1"/>
    <col min="9493" max="9493" width="9.33203125" style="543" bestFit="1" customWidth="1"/>
    <col min="9494" max="9494" width="1.6640625" style="543" customWidth="1"/>
    <col min="9495" max="9495" width="12.33203125" style="543" bestFit="1" customWidth="1"/>
    <col min="9496" max="9728" width="9.109375" style="543"/>
    <col min="9729" max="9730" width="3.6640625" style="543" customWidth="1"/>
    <col min="9731" max="9731" width="10.109375" style="543" bestFit="1" customWidth="1"/>
    <col min="9732" max="9732" width="11.33203125" style="543" bestFit="1" customWidth="1"/>
    <col min="9733" max="9733" width="1.6640625" style="543" customWidth="1"/>
    <col min="9734" max="9734" width="11.44140625" style="543" bestFit="1" customWidth="1"/>
    <col min="9735" max="9735" width="2.6640625" style="543" customWidth="1"/>
    <col min="9736" max="9736" width="5.6640625" style="543" customWidth="1"/>
    <col min="9737" max="9737" width="1.6640625" style="543" customWidth="1"/>
    <col min="9738" max="9738" width="11.44140625" style="543" bestFit="1" customWidth="1"/>
    <col min="9739" max="9739" width="2.6640625" style="543" customWidth="1"/>
    <col min="9740" max="9740" width="5.6640625" style="543" customWidth="1"/>
    <col min="9741" max="9741" width="1.6640625" style="543" customWidth="1"/>
    <col min="9742" max="9742" width="11.44140625" style="543" bestFit="1" customWidth="1"/>
    <col min="9743" max="9743" width="2.6640625" style="543" customWidth="1"/>
    <col min="9744" max="9744" width="5.6640625" style="543" customWidth="1"/>
    <col min="9745" max="9745" width="1.6640625" style="543" customWidth="1"/>
    <col min="9746" max="9746" width="7.44140625" style="543" customWidth="1"/>
    <col min="9747" max="9747" width="6.33203125" style="543" customWidth="1"/>
    <col min="9748" max="9748" width="7.109375" style="543" bestFit="1" customWidth="1"/>
    <col min="9749" max="9749" width="9.33203125" style="543" bestFit="1" customWidth="1"/>
    <col min="9750" max="9750" width="1.6640625" style="543" customWidth="1"/>
    <col min="9751" max="9751" width="12.33203125" style="543" bestFit="1" customWidth="1"/>
    <col min="9752" max="9984" width="9.109375" style="543"/>
    <col min="9985" max="9986" width="3.6640625" style="543" customWidth="1"/>
    <col min="9987" max="9987" width="10.109375" style="543" bestFit="1" customWidth="1"/>
    <col min="9988" max="9988" width="11.33203125" style="543" bestFit="1" customWidth="1"/>
    <col min="9989" max="9989" width="1.6640625" style="543" customWidth="1"/>
    <col min="9990" max="9990" width="11.44140625" style="543" bestFit="1" customWidth="1"/>
    <col min="9991" max="9991" width="2.6640625" style="543" customWidth="1"/>
    <col min="9992" max="9992" width="5.6640625" style="543" customWidth="1"/>
    <col min="9993" max="9993" width="1.6640625" style="543" customWidth="1"/>
    <col min="9994" max="9994" width="11.44140625" style="543" bestFit="1" customWidth="1"/>
    <col min="9995" max="9995" width="2.6640625" style="543" customWidth="1"/>
    <col min="9996" max="9996" width="5.6640625" style="543" customWidth="1"/>
    <col min="9997" max="9997" width="1.6640625" style="543" customWidth="1"/>
    <col min="9998" max="9998" width="11.44140625" style="543" bestFit="1" customWidth="1"/>
    <col min="9999" max="9999" width="2.6640625" style="543" customWidth="1"/>
    <col min="10000" max="10000" width="5.6640625" style="543" customWidth="1"/>
    <col min="10001" max="10001" width="1.6640625" style="543" customWidth="1"/>
    <col min="10002" max="10002" width="7.44140625" style="543" customWidth="1"/>
    <col min="10003" max="10003" width="6.33203125" style="543" customWidth="1"/>
    <col min="10004" max="10004" width="7.109375" style="543" bestFit="1" customWidth="1"/>
    <col min="10005" max="10005" width="9.33203125" style="543" bestFit="1" customWidth="1"/>
    <col min="10006" max="10006" width="1.6640625" style="543" customWidth="1"/>
    <col min="10007" max="10007" width="12.33203125" style="543" bestFit="1" customWidth="1"/>
    <col min="10008" max="10240" width="9.109375" style="543"/>
    <col min="10241" max="10242" width="3.6640625" style="543" customWidth="1"/>
    <col min="10243" max="10243" width="10.109375" style="543" bestFit="1" customWidth="1"/>
    <col min="10244" max="10244" width="11.33203125" style="543" bestFit="1" customWidth="1"/>
    <col min="10245" max="10245" width="1.6640625" style="543" customWidth="1"/>
    <col min="10246" max="10246" width="11.44140625" style="543" bestFit="1" customWidth="1"/>
    <col min="10247" max="10247" width="2.6640625" style="543" customWidth="1"/>
    <col min="10248" max="10248" width="5.6640625" style="543" customWidth="1"/>
    <col min="10249" max="10249" width="1.6640625" style="543" customWidth="1"/>
    <col min="10250" max="10250" width="11.44140625" style="543" bestFit="1" customWidth="1"/>
    <col min="10251" max="10251" width="2.6640625" style="543" customWidth="1"/>
    <col min="10252" max="10252" width="5.6640625" style="543" customWidth="1"/>
    <col min="10253" max="10253" width="1.6640625" style="543" customWidth="1"/>
    <col min="10254" max="10254" width="11.44140625" style="543" bestFit="1" customWidth="1"/>
    <col min="10255" max="10255" width="2.6640625" style="543" customWidth="1"/>
    <col min="10256" max="10256" width="5.6640625" style="543" customWidth="1"/>
    <col min="10257" max="10257" width="1.6640625" style="543" customWidth="1"/>
    <col min="10258" max="10258" width="7.44140625" style="543" customWidth="1"/>
    <col min="10259" max="10259" width="6.33203125" style="543" customWidth="1"/>
    <col min="10260" max="10260" width="7.109375" style="543" bestFit="1" customWidth="1"/>
    <col min="10261" max="10261" width="9.33203125" style="543" bestFit="1" customWidth="1"/>
    <col min="10262" max="10262" width="1.6640625" style="543" customWidth="1"/>
    <col min="10263" max="10263" width="12.33203125" style="543" bestFit="1" customWidth="1"/>
    <col min="10264" max="10496" width="9.109375" style="543"/>
    <col min="10497" max="10498" width="3.6640625" style="543" customWidth="1"/>
    <col min="10499" max="10499" width="10.109375" style="543" bestFit="1" customWidth="1"/>
    <col min="10500" max="10500" width="11.33203125" style="543" bestFit="1" customWidth="1"/>
    <col min="10501" max="10501" width="1.6640625" style="543" customWidth="1"/>
    <col min="10502" max="10502" width="11.44140625" style="543" bestFit="1" customWidth="1"/>
    <col min="10503" max="10503" width="2.6640625" style="543" customWidth="1"/>
    <col min="10504" max="10504" width="5.6640625" style="543" customWidth="1"/>
    <col min="10505" max="10505" width="1.6640625" style="543" customWidth="1"/>
    <col min="10506" max="10506" width="11.44140625" style="543" bestFit="1" customWidth="1"/>
    <col min="10507" max="10507" width="2.6640625" style="543" customWidth="1"/>
    <col min="10508" max="10508" width="5.6640625" style="543" customWidth="1"/>
    <col min="10509" max="10509" width="1.6640625" style="543" customWidth="1"/>
    <col min="10510" max="10510" width="11.44140625" style="543" bestFit="1" customWidth="1"/>
    <col min="10511" max="10511" width="2.6640625" style="543" customWidth="1"/>
    <col min="10512" max="10512" width="5.6640625" style="543" customWidth="1"/>
    <col min="10513" max="10513" width="1.6640625" style="543" customWidth="1"/>
    <col min="10514" max="10514" width="7.44140625" style="543" customWidth="1"/>
    <col min="10515" max="10515" width="6.33203125" style="543" customWidth="1"/>
    <col min="10516" max="10516" width="7.109375" style="543" bestFit="1" customWidth="1"/>
    <col min="10517" max="10517" width="9.33203125" style="543" bestFit="1" customWidth="1"/>
    <col min="10518" max="10518" width="1.6640625" style="543" customWidth="1"/>
    <col min="10519" max="10519" width="12.33203125" style="543" bestFit="1" customWidth="1"/>
    <col min="10520" max="10752" width="9.109375" style="543"/>
    <col min="10753" max="10754" width="3.6640625" style="543" customWidth="1"/>
    <col min="10755" max="10755" width="10.109375" style="543" bestFit="1" customWidth="1"/>
    <col min="10756" max="10756" width="11.33203125" style="543" bestFit="1" customWidth="1"/>
    <col min="10757" max="10757" width="1.6640625" style="543" customWidth="1"/>
    <col min="10758" max="10758" width="11.44140625" style="543" bestFit="1" customWidth="1"/>
    <col min="10759" max="10759" width="2.6640625" style="543" customWidth="1"/>
    <col min="10760" max="10760" width="5.6640625" style="543" customWidth="1"/>
    <col min="10761" max="10761" width="1.6640625" style="543" customWidth="1"/>
    <col min="10762" max="10762" width="11.44140625" style="543" bestFit="1" customWidth="1"/>
    <col min="10763" max="10763" width="2.6640625" style="543" customWidth="1"/>
    <col min="10764" max="10764" width="5.6640625" style="543" customWidth="1"/>
    <col min="10765" max="10765" width="1.6640625" style="543" customWidth="1"/>
    <col min="10766" max="10766" width="11.44140625" style="543" bestFit="1" customWidth="1"/>
    <col min="10767" max="10767" width="2.6640625" style="543" customWidth="1"/>
    <col min="10768" max="10768" width="5.6640625" style="543" customWidth="1"/>
    <col min="10769" max="10769" width="1.6640625" style="543" customWidth="1"/>
    <col min="10770" max="10770" width="7.44140625" style="543" customWidth="1"/>
    <col min="10771" max="10771" width="6.33203125" style="543" customWidth="1"/>
    <col min="10772" max="10772" width="7.109375" style="543" bestFit="1" customWidth="1"/>
    <col min="10773" max="10773" width="9.33203125" style="543" bestFit="1" customWidth="1"/>
    <col min="10774" max="10774" width="1.6640625" style="543" customWidth="1"/>
    <col min="10775" max="10775" width="12.33203125" style="543" bestFit="1" customWidth="1"/>
    <col min="10776" max="11008" width="9.109375" style="543"/>
    <col min="11009" max="11010" width="3.6640625" style="543" customWidth="1"/>
    <col min="11011" max="11011" width="10.109375" style="543" bestFit="1" customWidth="1"/>
    <col min="11012" max="11012" width="11.33203125" style="543" bestFit="1" customWidth="1"/>
    <col min="11013" max="11013" width="1.6640625" style="543" customWidth="1"/>
    <col min="11014" max="11014" width="11.44140625" style="543" bestFit="1" customWidth="1"/>
    <col min="11015" max="11015" width="2.6640625" style="543" customWidth="1"/>
    <col min="11016" max="11016" width="5.6640625" style="543" customWidth="1"/>
    <col min="11017" max="11017" width="1.6640625" style="543" customWidth="1"/>
    <col min="11018" max="11018" width="11.44140625" style="543" bestFit="1" customWidth="1"/>
    <col min="11019" max="11019" width="2.6640625" style="543" customWidth="1"/>
    <col min="11020" max="11020" width="5.6640625" style="543" customWidth="1"/>
    <col min="11021" max="11021" width="1.6640625" style="543" customWidth="1"/>
    <col min="11022" max="11022" width="11.44140625" style="543" bestFit="1" customWidth="1"/>
    <col min="11023" max="11023" width="2.6640625" style="543" customWidth="1"/>
    <col min="11024" max="11024" width="5.6640625" style="543" customWidth="1"/>
    <col min="11025" max="11025" width="1.6640625" style="543" customWidth="1"/>
    <col min="11026" max="11026" width="7.44140625" style="543" customWidth="1"/>
    <col min="11027" max="11027" width="6.33203125" style="543" customWidth="1"/>
    <col min="11028" max="11028" width="7.109375" style="543" bestFit="1" customWidth="1"/>
    <col min="11029" max="11029" width="9.33203125" style="543" bestFit="1" customWidth="1"/>
    <col min="11030" max="11030" width="1.6640625" style="543" customWidth="1"/>
    <col min="11031" max="11031" width="12.33203125" style="543" bestFit="1" customWidth="1"/>
    <col min="11032" max="11264" width="9.109375" style="543"/>
    <col min="11265" max="11266" width="3.6640625" style="543" customWidth="1"/>
    <col min="11267" max="11267" width="10.109375" style="543" bestFit="1" customWidth="1"/>
    <col min="11268" max="11268" width="11.33203125" style="543" bestFit="1" customWidth="1"/>
    <col min="11269" max="11269" width="1.6640625" style="543" customWidth="1"/>
    <col min="11270" max="11270" width="11.44140625" style="543" bestFit="1" customWidth="1"/>
    <col min="11271" max="11271" width="2.6640625" style="543" customWidth="1"/>
    <col min="11272" max="11272" width="5.6640625" style="543" customWidth="1"/>
    <col min="11273" max="11273" width="1.6640625" style="543" customWidth="1"/>
    <col min="11274" max="11274" width="11.44140625" style="543" bestFit="1" customWidth="1"/>
    <col min="11275" max="11275" width="2.6640625" style="543" customWidth="1"/>
    <col min="11276" max="11276" width="5.6640625" style="543" customWidth="1"/>
    <col min="11277" max="11277" width="1.6640625" style="543" customWidth="1"/>
    <col min="11278" max="11278" width="11.44140625" style="543" bestFit="1" customWidth="1"/>
    <col min="11279" max="11279" width="2.6640625" style="543" customWidth="1"/>
    <col min="11280" max="11280" width="5.6640625" style="543" customWidth="1"/>
    <col min="11281" max="11281" width="1.6640625" style="543" customWidth="1"/>
    <col min="11282" max="11282" width="7.44140625" style="543" customWidth="1"/>
    <col min="11283" max="11283" width="6.33203125" style="543" customWidth="1"/>
    <col min="11284" max="11284" width="7.109375" style="543" bestFit="1" customWidth="1"/>
    <col min="11285" max="11285" width="9.33203125" style="543" bestFit="1" customWidth="1"/>
    <col min="11286" max="11286" width="1.6640625" style="543" customWidth="1"/>
    <col min="11287" max="11287" width="12.33203125" style="543" bestFit="1" customWidth="1"/>
    <col min="11288" max="11520" width="9.109375" style="543"/>
    <col min="11521" max="11522" width="3.6640625" style="543" customWidth="1"/>
    <col min="11523" max="11523" width="10.109375" style="543" bestFit="1" customWidth="1"/>
    <col min="11524" max="11524" width="11.33203125" style="543" bestFit="1" customWidth="1"/>
    <col min="11525" max="11525" width="1.6640625" style="543" customWidth="1"/>
    <col min="11526" max="11526" width="11.44140625" style="543" bestFit="1" customWidth="1"/>
    <col min="11527" max="11527" width="2.6640625" style="543" customWidth="1"/>
    <col min="11528" max="11528" width="5.6640625" style="543" customWidth="1"/>
    <col min="11529" max="11529" width="1.6640625" style="543" customWidth="1"/>
    <col min="11530" max="11530" width="11.44140625" style="543" bestFit="1" customWidth="1"/>
    <col min="11531" max="11531" width="2.6640625" style="543" customWidth="1"/>
    <col min="11532" max="11532" width="5.6640625" style="543" customWidth="1"/>
    <col min="11533" max="11533" width="1.6640625" style="543" customWidth="1"/>
    <col min="11534" max="11534" width="11.44140625" style="543" bestFit="1" customWidth="1"/>
    <col min="11535" max="11535" width="2.6640625" style="543" customWidth="1"/>
    <col min="11536" max="11536" width="5.6640625" style="543" customWidth="1"/>
    <col min="11537" max="11537" width="1.6640625" style="543" customWidth="1"/>
    <col min="11538" max="11538" width="7.44140625" style="543" customWidth="1"/>
    <col min="11539" max="11539" width="6.33203125" style="543" customWidth="1"/>
    <col min="11540" max="11540" width="7.109375" style="543" bestFit="1" customWidth="1"/>
    <col min="11541" max="11541" width="9.33203125" style="543" bestFit="1" customWidth="1"/>
    <col min="11542" max="11542" width="1.6640625" style="543" customWidth="1"/>
    <col min="11543" max="11543" width="12.33203125" style="543" bestFit="1" customWidth="1"/>
    <col min="11544" max="11776" width="9.109375" style="543"/>
    <col min="11777" max="11778" width="3.6640625" style="543" customWidth="1"/>
    <col min="11779" max="11779" width="10.109375" style="543" bestFit="1" customWidth="1"/>
    <col min="11780" max="11780" width="11.33203125" style="543" bestFit="1" customWidth="1"/>
    <col min="11781" max="11781" width="1.6640625" style="543" customWidth="1"/>
    <col min="11782" max="11782" width="11.44140625" style="543" bestFit="1" customWidth="1"/>
    <col min="11783" max="11783" width="2.6640625" style="543" customWidth="1"/>
    <col min="11784" max="11784" width="5.6640625" style="543" customWidth="1"/>
    <col min="11785" max="11785" width="1.6640625" style="543" customWidth="1"/>
    <col min="11786" max="11786" width="11.44140625" style="543" bestFit="1" customWidth="1"/>
    <col min="11787" max="11787" width="2.6640625" style="543" customWidth="1"/>
    <col min="11788" max="11788" width="5.6640625" style="543" customWidth="1"/>
    <col min="11789" max="11789" width="1.6640625" style="543" customWidth="1"/>
    <col min="11790" max="11790" width="11.44140625" style="543" bestFit="1" customWidth="1"/>
    <col min="11791" max="11791" width="2.6640625" style="543" customWidth="1"/>
    <col min="11792" max="11792" width="5.6640625" style="543" customWidth="1"/>
    <col min="11793" max="11793" width="1.6640625" style="543" customWidth="1"/>
    <col min="11794" max="11794" width="7.44140625" style="543" customWidth="1"/>
    <col min="11795" max="11795" width="6.33203125" style="543" customWidth="1"/>
    <col min="11796" max="11796" width="7.109375" style="543" bestFit="1" customWidth="1"/>
    <col min="11797" max="11797" width="9.33203125" style="543" bestFit="1" customWidth="1"/>
    <col min="11798" max="11798" width="1.6640625" style="543" customWidth="1"/>
    <col min="11799" max="11799" width="12.33203125" style="543" bestFit="1" customWidth="1"/>
    <col min="11800" max="12032" width="9.109375" style="543"/>
    <col min="12033" max="12034" width="3.6640625" style="543" customWidth="1"/>
    <col min="12035" max="12035" width="10.109375" style="543" bestFit="1" customWidth="1"/>
    <col min="12036" max="12036" width="11.33203125" style="543" bestFit="1" customWidth="1"/>
    <col min="12037" max="12037" width="1.6640625" style="543" customWidth="1"/>
    <col min="12038" max="12038" width="11.44140625" style="543" bestFit="1" customWidth="1"/>
    <col min="12039" max="12039" width="2.6640625" style="543" customWidth="1"/>
    <col min="12040" max="12040" width="5.6640625" style="543" customWidth="1"/>
    <col min="12041" max="12041" width="1.6640625" style="543" customWidth="1"/>
    <col min="12042" max="12042" width="11.44140625" style="543" bestFit="1" customWidth="1"/>
    <col min="12043" max="12043" width="2.6640625" style="543" customWidth="1"/>
    <col min="12044" max="12044" width="5.6640625" style="543" customWidth="1"/>
    <col min="12045" max="12045" width="1.6640625" style="543" customWidth="1"/>
    <col min="12046" max="12046" width="11.44140625" style="543" bestFit="1" customWidth="1"/>
    <col min="12047" max="12047" width="2.6640625" style="543" customWidth="1"/>
    <col min="12048" max="12048" width="5.6640625" style="543" customWidth="1"/>
    <col min="12049" max="12049" width="1.6640625" style="543" customWidth="1"/>
    <col min="12050" max="12050" width="7.44140625" style="543" customWidth="1"/>
    <col min="12051" max="12051" width="6.33203125" style="543" customWidth="1"/>
    <col min="12052" max="12052" width="7.109375" style="543" bestFit="1" customWidth="1"/>
    <col min="12053" max="12053" width="9.33203125" style="543" bestFit="1" customWidth="1"/>
    <col min="12054" max="12054" width="1.6640625" style="543" customWidth="1"/>
    <col min="12055" max="12055" width="12.33203125" style="543" bestFit="1" customWidth="1"/>
    <col min="12056" max="12288" width="9.109375" style="543"/>
    <col min="12289" max="12290" width="3.6640625" style="543" customWidth="1"/>
    <col min="12291" max="12291" width="10.109375" style="543" bestFit="1" customWidth="1"/>
    <col min="12292" max="12292" width="11.33203125" style="543" bestFit="1" customWidth="1"/>
    <col min="12293" max="12293" width="1.6640625" style="543" customWidth="1"/>
    <col min="12294" max="12294" width="11.44140625" style="543" bestFit="1" customWidth="1"/>
    <col min="12295" max="12295" width="2.6640625" style="543" customWidth="1"/>
    <col min="12296" max="12296" width="5.6640625" style="543" customWidth="1"/>
    <col min="12297" max="12297" width="1.6640625" style="543" customWidth="1"/>
    <col min="12298" max="12298" width="11.44140625" style="543" bestFit="1" customWidth="1"/>
    <col min="12299" max="12299" width="2.6640625" style="543" customWidth="1"/>
    <col min="12300" max="12300" width="5.6640625" style="543" customWidth="1"/>
    <col min="12301" max="12301" width="1.6640625" style="543" customWidth="1"/>
    <col min="12302" max="12302" width="11.44140625" style="543" bestFit="1" customWidth="1"/>
    <col min="12303" max="12303" width="2.6640625" style="543" customWidth="1"/>
    <col min="12304" max="12304" width="5.6640625" style="543" customWidth="1"/>
    <col min="12305" max="12305" width="1.6640625" style="543" customWidth="1"/>
    <col min="12306" max="12306" width="7.44140625" style="543" customWidth="1"/>
    <col min="12307" max="12307" width="6.33203125" style="543" customWidth="1"/>
    <col min="12308" max="12308" width="7.109375" style="543" bestFit="1" customWidth="1"/>
    <col min="12309" max="12309" width="9.33203125" style="543" bestFit="1" customWidth="1"/>
    <col min="12310" max="12310" width="1.6640625" style="543" customWidth="1"/>
    <col min="12311" max="12311" width="12.33203125" style="543" bestFit="1" customWidth="1"/>
    <col min="12312" max="12544" width="9.109375" style="543"/>
    <col min="12545" max="12546" width="3.6640625" style="543" customWidth="1"/>
    <col min="12547" max="12547" width="10.109375" style="543" bestFit="1" customWidth="1"/>
    <col min="12548" max="12548" width="11.33203125" style="543" bestFit="1" customWidth="1"/>
    <col min="12549" max="12549" width="1.6640625" style="543" customWidth="1"/>
    <col min="12550" max="12550" width="11.44140625" style="543" bestFit="1" customWidth="1"/>
    <col min="12551" max="12551" width="2.6640625" style="543" customWidth="1"/>
    <col min="12552" max="12552" width="5.6640625" style="543" customWidth="1"/>
    <col min="12553" max="12553" width="1.6640625" style="543" customWidth="1"/>
    <col min="12554" max="12554" width="11.44140625" style="543" bestFit="1" customWidth="1"/>
    <col min="12555" max="12555" width="2.6640625" style="543" customWidth="1"/>
    <col min="12556" max="12556" width="5.6640625" style="543" customWidth="1"/>
    <col min="12557" max="12557" width="1.6640625" style="543" customWidth="1"/>
    <col min="12558" max="12558" width="11.44140625" style="543" bestFit="1" customWidth="1"/>
    <col min="12559" max="12559" width="2.6640625" style="543" customWidth="1"/>
    <col min="12560" max="12560" width="5.6640625" style="543" customWidth="1"/>
    <col min="12561" max="12561" width="1.6640625" style="543" customWidth="1"/>
    <col min="12562" max="12562" width="7.44140625" style="543" customWidth="1"/>
    <col min="12563" max="12563" width="6.33203125" style="543" customWidth="1"/>
    <col min="12564" max="12564" width="7.109375" style="543" bestFit="1" customWidth="1"/>
    <col min="12565" max="12565" width="9.33203125" style="543" bestFit="1" customWidth="1"/>
    <col min="12566" max="12566" width="1.6640625" style="543" customWidth="1"/>
    <col min="12567" max="12567" width="12.33203125" style="543" bestFit="1" customWidth="1"/>
    <col min="12568" max="12800" width="9.109375" style="543"/>
    <col min="12801" max="12802" width="3.6640625" style="543" customWidth="1"/>
    <col min="12803" max="12803" width="10.109375" style="543" bestFit="1" customWidth="1"/>
    <col min="12804" max="12804" width="11.33203125" style="543" bestFit="1" customWidth="1"/>
    <col min="12805" max="12805" width="1.6640625" style="543" customWidth="1"/>
    <col min="12806" max="12806" width="11.44140625" style="543" bestFit="1" customWidth="1"/>
    <col min="12807" max="12807" width="2.6640625" style="543" customWidth="1"/>
    <col min="12808" max="12808" width="5.6640625" style="543" customWidth="1"/>
    <col min="12809" max="12809" width="1.6640625" style="543" customWidth="1"/>
    <col min="12810" max="12810" width="11.44140625" style="543" bestFit="1" customWidth="1"/>
    <col min="12811" max="12811" width="2.6640625" style="543" customWidth="1"/>
    <col min="12812" max="12812" width="5.6640625" style="543" customWidth="1"/>
    <col min="12813" max="12813" width="1.6640625" style="543" customWidth="1"/>
    <col min="12814" max="12814" width="11.44140625" style="543" bestFit="1" customWidth="1"/>
    <col min="12815" max="12815" width="2.6640625" style="543" customWidth="1"/>
    <col min="12816" max="12816" width="5.6640625" style="543" customWidth="1"/>
    <col min="12817" max="12817" width="1.6640625" style="543" customWidth="1"/>
    <col min="12818" max="12818" width="7.44140625" style="543" customWidth="1"/>
    <col min="12819" max="12819" width="6.33203125" style="543" customWidth="1"/>
    <col min="12820" max="12820" width="7.109375" style="543" bestFit="1" customWidth="1"/>
    <col min="12821" max="12821" width="9.33203125" style="543" bestFit="1" customWidth="1"/>
    <col min="12822" max="12822" width="1.6640625" style="543" customWidth="1"/>
    <col min="12823" max="12823" width="12.33203125" style="543" bestFit="1" customWidth="1"/>
    <col min="12824" max="13056" width="9.109375" style="543"/>
    <col min="13057" max="13058" width="3.6640625" style="543" customWidth="1"/>
    <col min="13059" max="13059" width="10.109375" style="543" bestFit="1" customWidth="1"/>
    <col min="13060" max="13060" width="11.33203125" style="543" bestFit="1" customWidth="1"/>
    <col min="13061" max="13061" width="1.6640625" style="543" customWidth="1"/>
    <col min="13062" max="13062" width="11.44140625" style="543" bestFit="1" customWidth="1"/>
    <col min="13063" max="13063" width="2.6640625" style="543" customWidth="1"/>
    <col min="13064" max="13064" width="5.6640625" style="543" customWidth="1"/>
    <col min="13065" max="13065" width="1.6640625" style="543" customWidth="1"/>
    <col min="13066" max="13066" width="11.44140625" style="543" bestFit="1" customWidth="1"/>
    <col min="13067" max="13067" width="2.6640625" style="543" customWidth="1"/>
    <col min="13068" max="13068" width="5.6640625" style="543" customWidth="1"/>
    <col min="13069" max="13069" width="1.6640625" style="543" customWidth="1"/>
    <col min="13070" max="13070" width="11.44140625" style="543" bestFit="1" customWidth="1"/>
    <col min="13071" max="13071" width="2.6640625" style="543" customWidth="1"/>
    <col min="13072" max="13072" width="5.6640625" style="543" customWidth="1"/>
    <col min="13073" max="13073" width="1.6640625" style="543" customWidth="1"/>
    <col min="13074" max="13074" width="7.44140625" style="543" customWidth="1"/>
    <col min="13075" max="13075" width="6.33203125" style="543" customWidth="1"/>
    <col min="13076" max="13076" width="7.109375" style="543" bestFit="1" customWidth="1"/>
    <col min="13077" max="13077" width="9.33203125" style="543" bestFit="1" customWidth="1"/>
    <col min="13078" max="13078" width="1.6640625" style="543" customWidth="1"/>
    <col min="13079" max="13079" width="12.33203125" style="543" bestFit="1" customWidth="1"/>
    <col min="13080" max="13312" width="9.109375" style="543"/>
    <col min="13313" max="13314" width="3.6640625" style="543" customWidth="1"/>
    <col min="13315" max="13315" width="10.109375" style="543" bestFit="1" customWidth="1"/>
    <col min="13316" max="13316" width="11.33203125" style="543" bestFit="1" customWidth="1"/>
    <col min="13317" max="13317" width="1.6640625" style="543" customWidth="1"/>
    <col min="13318" max="13318" width="11.44140625" style="543" bestFit="1" customWidth="1"/>
    <col min="13319" max="13319" width="2.6640625" style="543" customWidth="1"/>
    <col min="13320" max="13320" width="5.6640625" style="543" customWidth="1"/>
    <col min="13321" max="13321" width="1.6640625" style="543" customWidth="1"/>
    <col min="13322" max="13322" width="11.44140625" style="543" bestFit="1" customWidth="1"/>
    <col min="13323" max="13323" width="2.6640625" style="543" customWidth="1"/>
    <col min="13324" max="13324" width="5.6640625" style="543" customWidth="1"/>
    <col min="13325" max="13325" width="1.6640625" style="543" customWidth="1"/>
    <col min="13326" max="13326" width="11.44140625" style="543" bestFit="1" customWidth="1"/>
    <col min="13327" max="13327" width="2.6640625" style="543" customWidth="1"/>
    <col min="13328" max="13328" width="5.6640625" style="543" customWidth="1"/>
    <col min="13329" max="13329" width="1.6640625" style="543" customWidth="1"/>
    <col min="13330" max="13330" width="7.44140625" style="543" customWidth="1"/>
    <col min="13331" max="13331" width="6.33203125" style="543" customWidth="1"/>
    <col min="13332" max="13332" width="7.109375" style="543" bestFit="1" customWidth="1"/>
    <col min="13333" max="13333" width="9.33203125" style="543" bestFit="1" customWidth="1"/>
    <col min="13334" max="13334" width="1.6640625" style="543" customWidth="1"/>
    <col min="13335" max="13335" width="12.33203125" style="543" bestFit="1" customWidth="1"/>
    <col min="13336" max="13568" width="9.109375" style="543"/>
    <col min="13569" max="13570" width="3.6640625" style="543" customWidth="1"/>
    <col min="13571" max="13571" width="10.109375" style="543" bestFit="1" customWidth="1"/>
    <col min="13572" max="13572" width="11.33203125" style="543" bestFit="1" customWidth="1"/>
    <col min="13573" max="13573" width="1.6640625" style="543" customWidth="1"/>
    <col min="13574" max="13574" width="11.44140625" style="543" bestFit="1" customWidth="1"/>
    <col min="13575" max="13575" width="2.6640625" style="543" customWidth="1"/>
    <col min="13576" max="13576" width="5.6640625" style="543" customWidth="1"/>
    <col min="13577" max="13577" width="1.6640625" style="543" customWidth="1"/>
    <col min="13578" max="13578" width="11.44140625" style="543" bestFit="1" customWidth="1"/>
    <col min="13579" max="13579" width="2.6640625" style="543" customWidth="1"/>
    <col min="13580" max="13580" width="5.6640625" style="543" customWidth="1"/>
    <col min="13581" max="13581" width="1.6640625" style="543" customWidth="1"/>
    <col min="13582" max="13582" width="11.44140625" style="543" bestFit="1" customWidth="1"/>
    <col min="13583" max="13583" width="2.6640625" style="543" customWidth="1"/>
    <col min="13584" max="13584" width="5.6640625" style="543" customWidth="1"/>
    <col min="13585" max="13585" width="1.6640625" style="543" customWidth="1"/>
    <col min="13586" max="13586" width="7.44140625" style="543" customWidth="1"/>
    <col min="13587" max="13587" width="6.33203125" style="543" customWidth="1"/>
    <col min="13588" max="13588" width="7.109375" style="543" bestFit="1" customWidth="1"/>
    <col min="13589" max="13589" width="9.33203125" style="543" bestFit="1" customWidth="1"/>
    <col min="13590" max="13590" width="1.6640625" style="543" customWidth="1"/>
    <col min="13591" max="13591" width="12.33203125" style="543" bestFit="1" customWidth="1"/>
    <col min="13592" max="13824" width="9.109375" style="543"/>
    <col min="13825" max="13826" width="3.6640625" style="543" customWidth="1"/>
    <col min="13827" max="13827" width="10.109375" style="543" bestFit="1" customWidth="1"/>
    <col min="13828" max="13828" width="11.33203125" style="543" bestFit="1" customWidth="1"/>
    <col min="13829" max="13829" width="1.6640625" style="543" customWidth="1"/>
    <col min="13830" max="13830" width="11.44140625" style="543" bestFit="1" customWidth="1"/>
    <col min="13831" max="13831" width="2.6640625" style="543" customWidth="1"/>
    <col min="13832" max="13832" width="5.6640625" style="543" customWidth="1"/>
    <col min="13833" max="13833" width="1.6640625" style="543" customWidth="1"/>
    <col min="13834" max="13834" width="11.44140625" style="543" bestFit="1" customWidth="1"/>
    <col min="13835" max="13835" width="2.6640625" style="543" customWidth="1"/>
    <col min="13836" max="13836" width="5.6640625" style="543" customWidth="1"/>
    <col min="13837" max="13837" width="1.6640625" style="543" customWidth="1"/>
    <col min="13838" max="13838" width="11.44140625" style="543" bestFit="1" customWidth="1"/>
    <col min="13839" max="13839" width="2.6640625" style="543" customWidth="1"/>
    <col min="13840" max="13840" width="5.6640625" style="543" customWidth="1"/>
    <col min="13841" max="13841" width="1.6640625" style="543" customWidth="1"/>
    <col min="13842" max="13842" width="7.44140625" style="543" customWidth="1"/>
    <col min="13843" max="13843" width="6.33203125" style="543" customWidth="1"/>
    <col min="13844" max="13844" width="7.109375" style="543" bestFit="1" customWidth="1"/>
    <col min="13845" max="13845" width="9.33203125" style="543" bestFit="1" customWidth="1"/>
    <col min="13846" max="13846" width="1.6640625" style="543" customWidth="1"/>
    <col min="13847" max="13847" width="12.33203125" style="543" bestFit="1" customWidth="1"/>
    <col min="13848" max="14080" width="9.109375" style="543"/>
    <col min="14081" max="14082" width="3.6640625" style="543" customWidth="1"/>
    <col min="14083" max="14083" width="10.109375" style="543" bestFit="1" customWidth="1"/>
    <col min="14084" max="14084" width="11.33203125" style="543" bestFit="1" customWidth="1"/>
    <col min="14085" max="14085" width="1.6640625" style="543" customWidth="1"/>
    <col min="14086" max="14086" width="11.44140625" style="543" bestFit="1" customWidth="1"/>
    <col min="14087" max="14087" width="2.6640625" style="543" customWidth="1"/>
    <col min="14088" max="14088" width="5.6640625" style="543" customWidth="1"/>
    <col min="14089" max="14089" width="1.6640625" style="543" customWidth="1"/>
    <col min="14090" max="14090" width="11.44140625" style="543" bestFit="1" customWidth="1"/>
    <col min="14091" max="14091" width="2.6640625" style="543" customWidth="1"/>
    <col min="14092" max="14092" width="5.6640625" style="543" customWidth="1"/>
    <col min="14093" max="14093" width="1.6640625" style="543" customWidth="1"/>
    <col min="14094" max="14094" width="11.44140625" style="543" bestFit="1" customWidth="1"/>
    <col min="14095" max="14095" width="2.6640625" style="543" customWidth="1"/>
    <col min="14096" max="14096" width="5.6640625" style="543" customWidth="1"/>
    <col min="14097" max="14097" width="1.6640625" style="543" customWidth="1"/>
    <col min="14098" max="14098" width="7.44140625" style="543" customWidth="1"/>
    <col min="14099" max="14099" width="6.33203125" style="543" customWidth="1"/>
    <col min="14100" max="14100" width="7.109375" style="543" bestFit="1" customWidth="1"/>
    <col min="14101" max="14101" width="9.33203125" style="543" bestFit="1" customWidth="1"/>
    <col min="14102" max="14102" width="1.6640625" style="543" customWidth="1"/>
    <col min="14103" max="14103" width="12.33203125" style="543" bestFit="1" customWidth="1"/>
    <col min="14104" max="14336" width="9.109375" style="543"/>
    <col min="14337" max="14338" width="3.6640625" style="543" customWidth="1"/>
    <col min="14339" max="14339" width="10.109375" style="543" bestFit="1" customWidth="1"/>
    <col min="14340" max="14340" width="11.33203125" style="543" bestFit="1" customWidth="1"/>
    <col min="14341" max="14341" width="1.6640625" style="543" customWidth="1"/>
    <col min="14342" max="14342" width="11.44140625" style="543" bestFit="1" customWidth="1"/>
    <col min="14343" max="14343" width="2.6640625" style="543" customWidth="1"/>
    <col min="14344" max="14344" width="5.6640625" style="543" customWidth="1"/>
    <col min="14345" max="14345" width="1.6640625" style="543" customWidth="1"/>
    <col min="14346" max="14346" width="11.44140625" style="543" bestFit="1" customWidth="1"/>
    <col min="14347" max="14347" width="2.6640625" style="543" customWidth="1"/>
    <col min="14348" max="14348" width="5.6640625" style="543" customWidth="1"/>
    <col min="14349" max="14349" width="1.6640625" style="543" customWidth="1"/>
    <col min="14350" max="14350" width="11.44140625" style="543" bestFit="1" customWidth="1"/>
    <col min="14351" max="14351" width="2.6640625" style="543" customWidth="1"/>
    <col min="14352" max="14352" width="5.6640625" style="543" customWidth="1"/>
    <col min="14353" max="14353" width="1.6640625" style="543" customWidth="1"/>
    <col min="14354" max="14354" width="7.44140625" style="543" customWidth="1"/>
    <col min="14355" max="14355" width="6.33203125" style="543" customWidth="1"/>
    <col min="14356" max="14356" width="7.109375" style="543" bestFit="1" customWidth="1"/>
    <col min="14357" max="14357" width="9.33203125" style="543" bestFit="1" customWidth="1"/>
    <col min="14358" max="14358" width="1.6640625" style="543" customWidth="1"/>
    <col min="14359" max="14359" width="12.33203125" style="543" bestFit="1" customWidth="1"/>
    <col min="14360" max="14592" width="9.109375" style="543"/>
    <col min="14593" max="14594" width="3.6640625" style="543" customWidth="1"/>
    <col min="14595" max="14595" width="10.109375" style="543" bestFit="1" customWidth="1"/>
    <col min="14596" max="14596" width="11.33203125" style="543" bestFit="1" customWidth="1"/>
    <col min="14597" max="14597" width="1.6640625" style="543" customWidth="1"/>
    <col min="14598" max="14598" width="11.44140625" style="543" bestFit="1" customWidth="1"/>
    <col min="14599" max="14599" width="2.6640625" style="543" customWidth="1"/>
    <col min="14600" max="14600" width="5.6640625" style="543" customWidth="1"/>
    <col min="14601" max="14601" width="1.6640625" style="543" customWidth="1"/>
    <col min="14602" max="14602" width="11.44140625" style="543" bestFit="1" customWidth="1"/>
    <col min="14603" max="14603" width="2.6640625" style="543" customWidth="1"/>
    <col min="14604" max="14604" width="5.6640625" style="543" customWidth="1"/>
    <col min="14605" max="14605" width="1.6640625" style="543" customWidth="1"/>
    <col min="14606" max="14606" width="11.44140625" style="543" bestFit="1" customWidth="1"/>
    <col min="14607" max="14607" width="2.6640625" style="543" customWidth="1"/>
    <col min="14608" max="14608" width="5.6640625" style="543" customWidth="1"/>
    <col min="14609" max="14609" width="1.6640625" style="543" customWidth="1"/>
    <col min="14610" max="14610" width="7.44140625" style="543" customWidth="1"/>
    <col min="14611" max="14611" width="6.33203125" style="543" customWidth="1"/>
    <col min="14612" max="14612" width="7.109375" style="543" bestFit="1" customWidth="1"/>
    <col min="14613" max="14613" width="9.33203125" style="543" bestFit="1" customWidth="1"/>
    <col min="14614" max="14614" width="1.6640625" style="543" customWidth="1"/>
    <col min="14615" max="14615" width="12.33203125" style="543" bestFit="1" customWidth="1"/>
    <col min="14616" max="14848" width="9.109375" style="543"/>
    <col min="14849" max="14850" width="3.6640625" style="543" customWidth="1"/>
    <col min="14851" max="14851" width="10.109375" style="543" bestFit="1" customWidth="1"/>
    <col min="14852" max="14852" width="11.33203125" style="543" bestFit="1" customWidth="1"/>
    <col min="14853" max="14853" width="1.6640625" style="543" customWidth="1"/>
    <col min="14854" max="14854" width="11.44140625" style="543" bestFit="1" customWidth="1"/>
    <col min="14855" max="14855" width="2.6640625" style="543" customWidth="1"/>
    <col min="14856" max="14856" width="5.6640625" style="543" customWidth="1"/>
    <col min="14857" max="14857" width="1.6640625" style="543" customWidth="1"/>
    <col min="14858" max="14858" width="11.44140625" style="543" bestFit="1" customWidth="1"/>
    <col min="14859" max="14859" width="2.6640625" style="543" customWidth="1"/>
    <col min="14860" max="14860" width="5.6640625" style="543" customWidth="1"/>
    <col min="14861" max="14861" width="1.6640625" style="543" customWidth="1"/>
    <col min="14862" max="14862" width="11.44140625" style="543" bestFit="1" customWidth="1"/>
    <col min="14863" max="14863" width="2.6640625" style="543" customWidth="1"/>
    <col min="14864" max="14864" width="5.6640625" style="543" customWidth="1"/>
    <col min="14865" max="14865" width="1.6640625" style="543" customWidth="1"/>
    <col min="14866" max="14866" width="7.44140625" style="543" customWidth="1"/>
    <col min="14867" max="14867" width="6.33203125" style="543" customWidth="1"/>
    <col min="14868" max="14868" width="7.109375" style="543" bestFit="1" customWidth="1"/>
    <col min="14869" max="14869" width="9.33203125" style="543" bestFit="1" customWidth="1"/>
    <col min="14870" max="14870" width="1.6640625" style="543" customWidth="1"/>
    <col min="14871" max="14871" width="12.33203125" style="543" bestFit="1" customWidth="1"/>
    <col min="14872" max="15104" width="9.109375" style="543"/>
    <col min="15105" max="15106" width="3.6640625" style="543" customWidth="1"/>
    <col min="15107" max="15107" width="10.109375" style="543" bestFit="1" customWidth="1"/>
    <col min="15108" max="15108" width="11.33203125" style="543" bestFit="1" customWidth="1"/>
    <col min="15109" max="15109" width="1.6640625" style="543" customWidth="1"/>
    <col min="15110" max="15110" width="11.44140625" style="543" bestFit="1" customWidth="1"/>
    <col min="15111" max="15111" width="2.6640625" style="543" customWidth="1"/>
    <col min="15112" max="15112" width="5.6640625" style="543" customWidth="1"/>
    <col min="15113" max="15113" width="1.6640625" style="543" customWidth="1"/>
    <col min="15114" max="15114" width="11.44140625" style="543" bestFit="1" customWidth="1"/>
    <col min="15115" max="15115" width="2.6640625" style="543" customWidth="1"/>
    <col min="15116" max="15116" width="5.6640625" style="543" customWidth="1"/>
    <col min="15117" max="15117" width="1.6640625" style="543" customWidth="1"/>
    <col min="15118" max="15118" width="11.44140625" style="543" bestFit="1" customWidth="1"/>
    <col min="15119" max="15119" width="2.6640625" style="543" customWidth="1"/>
    <col min="15120" max="15120" width="5.6640625" style="543" customWidth="1"/>
    <col min="15121" max="15121" width="1.6640625" style="543" customWidth="1"/>
    <col min="15122" max="15122" width="7.44140625" style="543" customWidth="1"/>
    <col min="15123" max="15123" width="6.33203125" style="543" customWidth="1"/>
    <col min="15124" max="15124" width="7.109375" style="543" bestFit="1" customWidth="1"/>
    <col min="15125" max="15125" width="9.33203125" style="543" bestFit="1" customWidth="1"/>
    <col min="15126" max="15126" width="1.6640625" style="543" customWidth="1"/>
    <col min="15127" max="15127" width="12.33203125" style="543" bestFit="1" customWidth="1"/>
    <col min="15128" max="15360" width="9.109375" style="543"/>
    <col min="15361" max="15362" width="3.6640625" style="543" customWidth="1"/>
    <col min="15363" max="15363" width="10.109375" style="543" bestFit="1" customWidth="1"/>
    <col min="15364" max="15364" width="11.33203125" style="543" bestFit="1" customWidth="1"/>
    <col min="15365" max="15365" width="1.6640625" style="543" customWidth="1"/>
    <col min="15366" max="15366" width="11.44140625" style="543" bestFit="1" customWidth="1"/>
    <col min="15367" max="15367" width="2.6640625" style="543" customWidth="1"/>
    <col min="15368" max="15368" width="5.6640625" style="543" customWidth="1"/>
    <col min="15369" max="15369" width="1.6640625" style="543" customWidth="1"/>
    <col min="15370" max="15370" width="11.44140625" style="543" bestFit="1" customWidth="1"/>
    <col min="15371" max="15371" width="2.6640625" style="543" customWidth="1"/>
    <col min="15372" max="15372" width="5.6640625" style="543" customWidth="1"/>
    <col min="15373" max="15373" width="1.6640625" style="543" customWidth="1"/>
    <col min="15374" max="15374" width="11.44140625" style="543" bestFit="1" customWidth="1"/>
    <col min="15375" max="15375" width="2.6640625" style="543" customWidth="1"/>
    <col min="15376" max="15376" width="5.6640625" style="543" customWidth="1"/>
    <col min="15377" max="15377" width="1.6640625" style="543" customWidth="1"/>
    <col min="15378" max="15378" width="7.44140625" style="543" customWidth="1"/>
    <col min="15379" max="15379" width="6.33203125" style="543" customWidth="1"/>
    <col min="15380" max="15380" width="7.109375" style="543" bestFit="1" customWidth="1"/>
    <col min="15381" max="15381" width="9.33203125" style="543" bestFit="1" customWidth="1"/>
    <col min="15382" max="15382" width="1.6640625" style="543" customWidth="1"/>
    <col min="15383" max="15383" width="12.33203125" style="543" bestFit="1" customWidth="1"/>
    <col min="15384" max="15616" width="9.109375" style="543"/>
    <col min="15617" max="15618" width="3.6640625" style="543" customWidth="1"/>
    <col min="15619" max="15619" width="10.109375" style="543" bestFit="1" customWidth="1"/>
    <col min="15620" max="15620" width="11.33203125" style="543" bestFit="1" customWidth="1"/>
    <col min="15621" max="15621" width="1.6640625" style="543" customWidth="1"/>
    <col min="15622" max="15622" width="11.44140625" style="543" bestFit="1" customWidth="1"/>
    <col min="15623" max="15623" width="2.6640625" style="543" customWidth="1"/>
    <col min="15624" max="15624" width="5.6640625" style="543" customWidth="1"/>
    <col min="15625" max="15625" width="1.6640625" style="543" customWidth="1"/>
    <col min="15626" max="15626" width="11.44140625" style="543" bestFit="1" customWidth="1"/>
    <col min="15627" max="15627" width="2.6640625" style="543" customWidth="1"/>
    <col min="15628" max="15628" width="5.6640625" style="543" customWidth="1"/>
    <col min="15629" max="15629" width="1.6640625" style="543" customWidth="1"/>
    <col min="15630" max="15630" width="11.44140625" style="543" bestFit="1" customWidth="1"/>
    <col min="15631" max="15631" width="2.6640625" style="543" customWidth="1"/>
    <col min="15632" max="15632" width="5.6640625" style="543" customWidth="1"/>
    <col min="15633" max="15633" width="1.6640625" style="543" customWidth="1"/>
    <col min="15634" max="15634" width="7.44140625" style="543" customWidth="1"/>
    <col min="15635" max="15635" width="6.33203125" style="543" customWidth="1"/>
    <col min="15636" max="15636" width="7.109375" style="543" bestFit="1" customWidth="1"/>
    <col min="15637" max="15637" width="9.33203125" style="543" bestFit="1" customWidth="1"/>
    <col min="15638" max="15638" width="1.6640625" style="543" customWidth="1"/>
    <col min="15639" max="15639" width="12.33203125" style="543" bestFit="1" customWidth="1"/>
    <col min="15640" max="15872" width="9.109375" style="543"/>
    <col min="15873" max="15874" width="3.6640625" style="543" customWidth="1"/>
    <col min="15875" max="15875" width="10.109375" style="543" bestFit="1" customWidth="1"/>
    <col min="15876" max="15876" width="11.33203125" style="543" bestFit="1" customWidth="1"/>
    <col min="15877" max="15877" width="1.6640625" style="543" customWidth="1"/>
    <col min="15878" max="15878" width="11.44140625" style="543" bestFit="1" customWidth="1"/>
    <col min="15879" max="15879" width="2.6640625" style="543" customWidth="1"/>
    <col min="15880" max="15880" width="5.6640625" style="543" customWidth="1"/>
    <col min="15881" max="15881" width="1.6640625" style="543" customWidth="1"/>
    <col min="15882" max="15882" width="11.44140625" style="543" bestFit="1" customWidth="1"/>
    <col min="15883" max="15883" width="2.6640625" style="543" customWidth="1"/>
    <col min="15884" max="15884" width="5.6640625" style="543" customWidth="1"/>
    <col min="15885" max="15885" width="1.6640625" style="543" customWidth="1"/>
    <col min="15886" max="15886" width="11.44140625" style="543" bestFit="1" customWidth="1"/>
    <col min="15887" max="15887" width="2.6640625" style="543" customWidth="1"/>
    <col min="15888" max="15888" width="5.6640625" style="543" customWidth="1"/>
    <col min="15889" max="15889" width="1.6640625" style="543" customWidth="1"/>
    <col min="15890" max="15890" width="7.44140625" style="543" customWidth="1"/>
    <col min="15891" max="15891" width="6.33203125" style="543" customWidth="1"/>
    <col min="15892" max="15892" width="7.109375" style="543" bestFit="1" customWidth="1"/>
    <col min="15893" max="15893" width="9.33203125" style="543" bestFit="1" customWidth="1"/>
    <col min="15894" max="15894" width="1.6640625" style="543" customWidth="1"/>
    <col min="15895" max="15895" width="12.33203125" style="543" bestFit="1" customWidth="1"/>
    <col min="15896" max="16128" width="9.109375" style="543"/>
    <col min="16129" max="16130" width="3.6640625" style="543" customWidth="1"/>
    <col min="16131" max="16131" width="10.109375" style="543" bestFit="1" customWidth="1"/>
    <col min="16132" max="16132" width="11.33203125" style="543" bestFit="1" customWidth="1"/>
    <col min="16133" max="16133" width="1.6640625" style="543" customWidth="1"/>
    <col min="16134" max="16134" width="11.44140625" style="543" bestFit="1" customWidth="1"/>
    <col min="16135" max="16135" width="2.6640625" style="543" customWidth="1"/>
    <col min="16136" max="16136" width="5.6640625" style="543" customWidth="1"/>
    <col min="16137" max="16137" width="1.6640625" style="543" customWidth="1"/>
    <col min="16138" max="16138" width="11.44140625" style="543" bestFit="1" customWidth="1"/>
    <col min="16139" max="16139" width="2.6640625" style="543" customWidth="1"/>
    <col min="16140" max="16140" width="5.6640625" style="543" customWidth="1"/>
    <col min="16141" max="16141" width="1.6640625" style="543" customWidth="1"/>
    <col min="16142" max="16142" width="11.44140625" style="543" bestFit="1" customWidth="1"/>
    <col min="16143" max="16143" width="2.6640625" style="543" customWidth="1"/>
    <col min="16144" max="16144" width="5.6640625" style="543" customWidth="1"/>
    <col min="16145" max="16145" width="1.6640625" style="543" customWidth="1"/>
    <col min="16146" max="16146" width="7.44140625" style="543" customWidth="1"/>
    <col min="16147" max="16147" width="6.33203125" style="543" customWidth="1"/>
    <col min="16148" max="16148" width="7.109375" style="543" bestFit="1" customWidth="1"/>
    <col min="16149" max="16149" width="9.33203125" style="543" bestFit="1" customWidth="1"/>
    <col min="16150" max="16150" width="1.6640625" style="543" customWidth="1"/>
    <col min="16151" max="16151" width="12.33203125" style="543" bestFit="1" customWidth="1"/>
    <col min="16152" max="16384" width="9.109375" style="543"/>
  </cols>
  <sheetData>
    <row r="1" spans="1:23" ht="15.6">
      <c r="A1" s="542" t="s">
        <v>308</v>
      </c>
      <c r="C1" s="544">
        <f>INPUT!B7</f>
        <v>677</v>
      </c>
      <c r="D1" s="545"/>
      <c r="E1" s="545"/>
      <c r="F1" s="545"/>
      <c r="G1" s="545"/>
      <c r="H1" s="950" t="s">
        <v>309</v>
      </c>
      <c r="I1" s="950"/>
      <c r="J1" s="950"/>
      <c r="K1" s="950"/>
      <c r="L1" s="950"/>
      <c r="M1" s="950"/>
      <c r="N1" s="950"/>
      <c r="O1" s="950"/>
      <c r="P1" s="950"/>
      <c r="Q1" s="950"/>
      <c r="R1" s="545"/>
      <c r="S1" s="545"/>
      <c r="T1" s="545"/>
      <c r="U1" s="951">
        <f>D6</f>
        <v>107350009</v>
      </c>
      <c r="V1" s="950"/>
      <c r="W1" s="950"/>
    </row>
    <row r="2" spans="1:23">
      <c r="A2" s="543" t="s">
        <v>310</v>
      </c>
      <c r="C2" s="546">
        <f>INPUT!B5</f>
        <v>46031</v>
      </c>
      <c r="F2" s="548"/>
      <c r="J2" s="548"/>
      <c r="N2" s="548"/>
      <c r="P2" s="543"/>
    </row>
    <row r="3" spans="1:23" ht="4.5" customHeight="1" thickBot="1">
      <c r="P3" s="543"/>
    </row>
    <row r="4" spans="1:23" ht="13.8" thickTop="1">
      <c r="A4" s="549"/>
      <c r="B4" s="550"/>
      <c r="C4" s="550"/>
      <c r="D4" s="952" t="s">
        <v>311</v>
      </c>
      <c r="E4" s="953"/>
      <c r="F4" s="953"/>
      <c r="G4" s="953"/>
      <c r="H4" s="953"/>
      <c r="I4" s="953"/>
      <c r="J4" s="953"/>
      <c r="K4" s="953"/>
      <c r="L4" s="953"/>
      <c r="M4" s="953"/>
      <c r="N4" s="953"/>
      <c r="O4" s="953"/>
      <c r="P4" s="953"/>
      <c r="Q4" s="550"/>
      <c r="R4" s="954" t="s">
        <v>312</v>
      </c>
      <c r="S4" s="955"/>
      <c r="T4" s="955"/>
      <c r="U4" s="955"/>
      <c r="V4" s="955"/>
      <c r="W4" s="956"/>
    </row>
    <row r="5" spans="1:23">
      <c r="A5" s="551" t="s">
        <v>313</v>
      </c>
      <c r="D5" s="552" t="s">
        <v>10</v>
      </c>
      <c r="E5" s="553"/>
      <c r="F5" s="552" t="s">
        <v>314</v>
      </c>
      <c r="H5" s="552" t="s">
        <v>315</v>
      </c>
      <c r="I5" s="553"/>
      <c r="J5" s="552" t="s">
        <v>316</v>
      </c>
      <c r="L5" s="552" t="s">
        <v>315</v>
      </c>
      <c r="M5" s="553"/>
      <c r="N5" s="552" t="s">
        <v>317</v>
      </c>
      <c r="P5" s="552" t="s">
        <v>315</v>
      </c>
      <c r="Q5" s="554"/>
      <c r="R5" s="555" t="s">
        <v>318</v>
      </c>
      <c r="U5" s="547" t="s">
        <v>319</v>
      </c>
      <c r="W5" s="556" t="s">
        <v>320</v>
      </c>
    </row>
    <row r="6" spans="1:23">
      <c r="A6" s="551" t="s">
        <v>321</v>
      </c>
      <c r="D6" s="656">
        <f>INPUT!B30</f>
        <v>107350009</v>
      </c>
      <c r="E6" s="553"/>
      <c r="F6" s="656">
        <f>IFERROR(VLOOKUP(1, 'Arranged Comps'!A:U,2,FALSE),"")</f>
        <v>101370038</v>
      </c>
      <c r="I6" s="553"/>
      <c r="J6" s="557">
        <f>IFERROR(VLOOKUP(2, 'Arranged Comps'!A:U,2,FALSE),"")</f>
        <v>115200043</v>
      </c>
      <c r="M6" s="553"/>
      <c r="N6" s="557">
        <f>IFERROR(VLOOKUP(3, 'Arranged Comps'!A:U,2,FALSE),"")</f>
        <v>107350010</v>
      </c>
      <c r="Q6" s="554"/>
      <c r="R6" s="558">
        <v>0</v>
      </c>
      <c r="S6" s="559" t="s">
        <v>322</v>
      </c>
      <c r="U6" s="560">
        <v>0</v>
      </c>
      <c r="W6" s="561">
        <f>SUM((U6*R6)*12)</f>
        <v>0</v>
      </c>
    </row>
    <row r="7" spans="1:23" ht="21" customHeight="1">
      <c r="A7" s="551" t="s">
        <v>323</v>
      </c>
      <c r="D7" s="657" t="str">
        <f>INPUT!B31</f>
        <v>1215 GRAPHITE DR</v>
      </c>
      <c r="E7" s="553"/>
      <c r="F7" s="657" t="str">
        <f>IFERROR(VLOOKUP(1, 'Arranged Comps'!A:U,14,FALSE),"")</f>
        <v>255 GLIDER CIR</v>
      </c>
      <c r="H7" s="562"/>
      <c r="I7" s="553"/>
      <c r="J7" s="563" t="str">
        <f>IFERROR(VLOOKUP(2, 'Arranged Comps'!A:U,14,FALSE),"")</f>
        <v>127 RADIO RD</v>
      </c>
      <c r="L7" s="562"/>
      <c r="M7" s="553"/>
      <c r="N7" s="657" t="str">
        <f>IFERROR(VLOOKUP(3, 'Arranged Comps'!A:U,14,FALSE),"")</f>
        <v>1220 GRAPHITE DR</v>
      </c>
      <c r="P7" s="562"/>
      <c r="Q7" s="554"/>
      <c r="R7" s="558">
        <v>1</v>
      </c>
      <c r="S7" s="559" t="s">
        <v>324</v>
      </c>
      <c r="U7" s="564">
        <v>2600</v>
      </c>
      <c r="W7" s="561">
        <f t="shared" ref="W7:W15" si="0">SUM((U7*R7)*12)</f>
        <v>31200</v>
      </c>
    </row>
    <row r="8" spans="1:23">
      <c r="A8" s="551" t="s">
        <v>325</v>
      </c>
      <c r="D8" s="565">
        <f>INPUT!B24</f>
        <v>3928960</v>
      </c>
      <c r="E8" s="553"/>
      <c r="F8" s="565">
        <f>IFERROR(VLOOKUP(1, 'Arranged Comps'!A:U,5,FALSE),"")</f>
        <v>5300000</v>
      </c>
      <c r="H8" s="562"/>
      <c r="I8" s="553"/>
      <c r="J8" s="565">
        <f>IFERROR(VLOOKUP(2, 'Arranged Comps'!A:U,5,FALSE),"")</f>
        <v>2675000</v>
      </c>
      <c r="L8" s="562"/>
      <c r="M8" s="553"/>
      <c r="N8" s="565">
        <f>IFERROR(VLOOKUP(3, 'Arranged Comps'!A:U,5,FALSE),"")</f>
        <v>6400000</v>
      </c>
      <c r="P8" s="562"/>
      <c r="Q8" s="554"/>
      <c r="R8" s="558">
        <v>0</v>
      </c>
      <c r="S8" s="559" t="s">
        <v>324</v>
      </c>
      <c r="U8" s="564">
        <v>0</v>
      </c>
      <c r="W8" s="561">
        <f t="shared" si="0"/>
        <v>0</v>
      </c>
    </row>
    <row r="9" spans="1:23">
      <c r="A9" s="551" t="s">
        <v>326</v>
      </c>
      <c r="D9" s="566">
        <f>INPUT!B5</f>
        <v>46031</v>
      </c>
      <c r="E9" s="553"/>
      <c r="F9" s="566">
        <f>IFERROR(VLOOKUP(1, 'Arranged Comps'!A:U,3,FALSE),"")</f>
        <v>46114</v>
      </c>
      <c r="H9" s="567"/>
      <c r="I9" s="553"/>
      <c r="J9" s="566">
        <f>IFERROR(VLOOKUP(2, 'Arranged Comps'!A:U,3,FALSE),"")</f>
        <v>46021</v>
      </c>
      <c r="L9" s="567"/>
      <c r="M9" s="553"/>
      <c r="N9" s="566">
        <f>IFERROR(VLOOKUP(3, 'Arranged Comps'!A:U,3,FALSE),"")</f>
        <v>45817</v>
      </c>
      <c r="P9" s="567"/>
      <c r="Q9" s="554"/>
      <c r="R9" s="558">
        <v>2</v>
      </c>
      <c r="S9" s="559" t="s">
        <v>327</v>
      </c>
      <c r="U9" s="564">
        <v>3000</v>
      </c>
      <c r="W9" s="561">
        <f t="shared" si="0"/>
        <v>72000</v>
      </c>
    </row>
    <row r="10" spans="1:23" ht="13.8" thickBot="1">
      <c r="A10" s="551" t="s">
        <v>328</v>
      </c>
      <c r="D10" s="568">
        <f>D8</f>
        <v>3928960</v>
      </c>
      <c r="E10" s="553"/>
      <c r="F10" s="569">
        <f>ROUND(F8*(1+H9),0)</f>
        <v>5300000</v>
      </c>
      <c r="H10" s="570"/>
      <c r="I10" s="553"/>
      <c r="J10" s="569">
        <f>ROUND(J8*(1+L9),0)</f>
        <v>2675000</v>
      </c>
      <c r="L10" s="570"/>
      <c r="M10" s="553"/>
      <c r="N10" s="569">
        <f>ROUND(N8*(1+P9),0)</f>
        <v>6400000</v>
      </c>
      <c r="P10" s="570"/>
      <c r="Q10" s="554"/>
      <c r="R10" s="558">
        <v>0</v>
      </c>
      <c r="S10" s="559" t="s">
        <v>329</v>
      </c>
      <c r="U10" s="564">
        <v>0</v>
      </c>
      <c r="W10" s="561">
        <f t="shared" si="0"/>
        <v>0</v>
      </c>
    </row>
    <row r="11" spans="1:23" ht="12.75" customHeight="1">
      <c r="A11" s="957" t="s">
        <v>330</v>
      </c>
      <c r="B11" s="921"/>
      <c r="C11" s="921"/>
      <c r="D11" s="958" t="str">
        <f>INPUT!B32</f>
        <v>CORONA</v>
      </c>
      <c r="E11" s="553"/>
      <c r="F11" s="958" t="str">
        <f>IFERROR(VLOOKUP(1, 'Arranged Comps'!A:U,15,FALSE),"")</f>
        <v>CORONA</v>
      </c>
      <c r="I11" s="553"/>
      <c r="J11" s="958" t="str">
        <f>IFERROR(VLOOKUP(2, 'Arranged Comps'!A:U,15,FALSE),"")</f>
        <v>CORONA</v>
      </c>
      <c r="M11" s="553"/>
      <c r="N11" s="958" t="str">
        <f>IFERROR(VLOOKUP(3, 'Arranged Comps'!A:U,15,FALSE),"")</f>
        <v>CORONA</v>
      </c>
      <c r="Q11" s="554"/>
      <c r="R11" s="558">
        <v>0</v>
      </c>
      <c r="S11" s="559" t="s">
        <v>331</v>
      </c>
      <c r="U11" s="564">
        <v>0</v>
      </c>
      <c r="W11" s="561">
        <f t="shared" si="0"/>
        <v>0</v>
      </c>
    </row>
    <row r="12" spans="1:23">
      <c r="A12" s="957"/>
      <c r="B12" s="921"/>
      <c r="C12" s="921"/>
      <c r="D12" s="959"/>
      <c r="E12" s="553"/>
      <c r="F12" s="959"/>
      <c r="H12" s="562">
        <v>0.05</v>
      </c>
      <c r="I12" s="553"/>
      <c r="J12" s="959"/>
      <c r="L12" s="562"/>
      <c r="M12" s="553"/>
      <c r="N12" s="959"/>
      <c r="P12" s="562"/>
      <c r="Q12" s="554"/>
      <c r="R12" s="558">
        <v>0</v>
      </c>
      <c r="S12" s="559" t="s">
        <v>331</v>
      </c>
      <c r="U12" s="564">
        <v>0</v>
      </c>
      <c r="W12" s="561">
        <f t="shared" si="0"/>
        <v>0</v>
      </c>
    </row>
    <row r="13" spans="1:23">
      <c r="A13" s="551" t="s">
        <v>332</v>
      </c>
      <c r="D13" s="571">
        <v>4</v>
      </c>
      <c r="E13" s="553"/>
      <c r="F13" s="571">
        <v>4</v>
      </c>
      <c r="H13" s="562"/>
      <c r="I13" s="553"/>
      <c r="J13" s="571">
        <v>4</v>
      </c>
      <c r="L13" s="562"/>
      <c r="M13" s="553"/>
      <c r="N13" s="571">
        <v>4</v>
      </c>
      <c r="P13" s="562"/>
      <c r="Q13" s="554"/>
      <c r="R13" s="558">
        <v>0</v>
      </c>
      <c r="S13" s="559" t="s">
        <v>333</v>
      </c>
      <c r="U13" s="564">
        <v>0</v>
      </c>
      <c r="W13" s="561">
        <f t="shared" si="0"/>
        <v>0</v>
      </c>
    </row>
    <row r="14" spans="1:23">
      <c r="A14" s="551" t="s">
        <v>334</v>
      </c>
      <c r="D14" s="572">
        <f>INPUT!B35</f>
        <v>10490</v>
      </c>
      <c r="E14" s="553"/>
      <c r="F14" s="572">
        <f>IFERROR(VLOOKUP(1, 'Arranged Comps'!A:U,6,FALSE),"")</f>
        <v>17767</v>
      </c>
      <c r="H14" s="562"/>
      <c r="I14" s="553"/>
      <c r="J14" s="572">
        <f>IFERROR(VLOOKUP(2, 'Arranged Comps'!A:U,6,FALSE),"")</f>
        <v>6936</v>
      </c>
      <c r="L14" s="562"/>
      <c r="M14" s="553"/>
      <c r="N14" s="572">
        <f>IFERROR(VLOOKUP(3, 'Arranged Comps'!A:U,6,FALSE),"")</f>
        <v>16504</v>
      </c>
      <c r="P14" s="562">
        <v>0.1</v>
      </c>
      <c r="Q14" s="554"/>
      <c r="R14" s="558">
        <v>0</v>
      </c>
      <c r="S14" s="559" t="s">
        <v>335</v>
      </c>
      <c r="U14" s="564">
        <v>0</v>
      </c>
      <c r="W14" s="561">
        <f t="shared" si="0"/>
        <v>0</v>
      </c>
    </row>
    <row r="15" spans="1:23">
      <c r="A15" s="551" t="s">
        <v>336</v>
      </c>
      <c r="D15" s="573">
        <f>IF(OR(D14="", D13=""), 0, SUM(D14/D13))</f>
        <v>2622.5</v>
      </c>
      <c r="E15" s="574"/>
      <c r="F15" s="573">
        <f>IF(OR(F14="", F13=""), 0, SUM(F14/F13))</f>
        <v>4441.75</v>
      </c>
      <c r="H15" s="562">
        <v>-0.1</v>
      </c>
      <c r="I15" s="553"/>
      <c r="J15" s="573">
        <f>IF(OR(J14="", J13=""), 0, SUM(J14/J13))</f>
        <v>1734</v>
      </c>
      <c r="L15" s="562"/>
      <c r="M15" s="553"/>
      <c r="N15" s="573">
        <f>IF(OR(N14="", N13=""), 0, SUM(N14/N13))</f>
        <v>4126</v>
      </c>
      <c r="P15" s="562">
        <v>-0.1</v>
      </c>
      <c r="Q15" s="554"/>
      <c r="R15" s="558">
        <v>1</v>
      </c>
      <c r="S15" s="575" t="s">
        <v>444</v>
      </c>
      <c r="T15" s="576"/>
      <c r="U15" s="564">
        <v>4000</v>
      </c>
      <c r="W15" s="561">
        <f t="shared" si="0"/>
        <v>48000</v>
      </c>
    </row>
    <row r="16" spans="1:23">
      <c r="A16" s="551" t="s">
        <v>338</v>
      </c>
      <c r="D16" s="654">
        <f>INPUT!B37</f>
        <v>25</v>
      </c>
      <c r="E16" s="553"/>
      <c r="F16" s="571">
        <f>IFERROR(VLOOKUP(1, 'Arranged Comps'!A:U,9,FALSE),"")</f>
        <v>26</v>
      </c>
      <c r="H16" s="562">
        <v>0.11</v>
      </c>
      <c r="I16" s="553"/>
      <c r="J16" s="571">
        <f>IFERROR(VLOOKUP(2, 'Arranged Comps'!A:U,9,FALSE),"")</f>
        <v>21</v>
      </c>
      <c r="L16" s="562">
        <v>-0.01</v>
      </c>
      <c r="M16" s="553"/>
      <c r="N16" s="571">
        <f>IFERROR(VLOOKUP(3, 'Arranged Comps'!A:U,9,FALSE),"")</f>
        <v>25</v>
      </c>
      <c r="P16" s="562">
        <v>0.11</v>
      </c>
      <c r="Q16" s="554"/>
      <c r="R16" s="577">
        <f>SUM(R6:R15)</f>
        <v>4</v>
      </c>
      <c r="S16" s="578" t="s">
        <v>339</v>
      </c>
      <c r="W16" s="579">
        <f>SUM(W6:W15)</f>
        <v>151200</v>
      </c>
    </row>
    <row r="17" spans="1:23">
      <c r="A17" s="551" t="s">
        <v>340</v>
      </c>
      <c r="D17" s="571" t="str">
        <f>INPUT!B41</f>
        <v>Average</v>
      </c>
      <c r="E17" s="553"/>
      <c r="F17" s="571" t="s">
        <v>16</v>
      </c>
      <c r="H17" s="562"/>
      <c r="I17" s="553"/>
      <c r="J17" s="571" t="s">
        <v>16</v>
      </c>
      <c r="L17" s="562"/>
      <c r="M17" s="553"/>
      <c r="N17" s="571" t="s">
        <v>16</v>
      </c>
      <c r="P17" s="562"/>
      <c r="Q17" s="554"/>
      <c r="R17" s="580"/>
      <c r="S17" s="581"/>
      <c r="T17" s="581"/>
      <c r="W17" s="582"/>
    </row>
    <row r="18" spans="1:23">
      <c r="A18" s="551" t="s">
        <v>341</v>
      </c>
      <c r="D18" s="571" t="str">
        <f>INPUT!B40</f>
        <v>C2.5</v>
      </c>
      <c r="E18" s="553"/>
      <c r="F18" s="571" t="s">
        <v>150</v>
      </c>
      <c r="H18" s="562"/>
      <c r="I18" s="553"/>
      <c r="J18" s="583" t="s">
        <v>150</v>
      </c>
      <c r="L18" s="562"/>
      <c r="M18" s="553"/>
      <c r="N18" s="571" t="s">
        <v>150</v>
      </c>
      <c r="P18" s="562"/>
      <c r="Q18" s="554"/>
      <c r="R18" s="584"/>
      <c r="U18" s="578" t="s">
        <v>342</v>
      </c>
      <c r="W18" s="585">
        <f>IF(W16=0,0,SUM(W16/12)/(D13*D15))</f>
        <v>1.2011439466158247</v>
      </c>
    </row>
    <row r="19" spans="1:23">
      <c r="A19" s="551" t="s">
        <v>343</v>
      </c>
      <c r="D19" s="655">
        <f>INPUT!B38</f>
        <v>0.68</v>
      </c>
      <c r="E19" s="553"/>
      <c r="F19" s="571">
        <f>IFERROR(VLOOKUP(1, 'Arranged Comps'!A:U,16,FALSE),"")</f>
        <v>0.96</v>
      </c>
      <c r="H19" s="562"/>
      <c r="I19" s="553"/>
      <c r="J19" s="571">
        <f>IFERROR(VLOOKUP(2, 'Arranged Comps'!A:U,16,FALSE),"")</f>
        <v>0.51</v>
      </c>
      <c r="L19" s="562"/>
      <c r="M19" s="553"/>
      <c r="N19" s="571">
        <f>IFERROR(VLOOKUP(3, 'Arranged Comps'!A:U,16,FALSE),"")</f>
        <v>0.99</v>
      </c>
      <c r="P19" s="562"/>
      <c r="Q19" s="554"/>
      <c r="R19" s="584"/>
      <c r="W19" s="582"/>
    </row>
    <row r="20" spans="1:23" ht="13.2" customHeight="1">
      <c r="A20" s="551" t="s">
        <v>344</v>
      </c>
      <c r="D20" s="586">
        <f>IF(OR(D19="", D13=""), 0, SUM(D19*43560)/D13)</f>
        <v>7405.2000000000007</v>
      </c>
      <c r="E20" s="553"/>
      <c r="F20" s="586">
        <f>IF(OR(F19="", F13=""), 0, SUM(F19*43560)/F13)</f>
        <v>10454.4</v>
      </c>
      <c r="H20" s="562"/>
      <c r="I20" s="553"/>
      <c r="J20" s="586">
        <f>IF(OR(J19="", J13=""), 0, SUM(J19*43560)/J13)</f>
        <v>5553.9000000000005</v>
      </c>
      <c r="L20" s="562">
        <v>0.1</v>
      </c>
      <c r="M20" s="553"/>
      <c r="N20" s="586">
        <f>IF(OR(N19="", N13=""), 0, SUM(N19*43560)/N13)</f>
        <v>10781.1</v>
      </c>
      <c r="P20" s="562">
        <v>0.1</v>
      </c>
      <c r="Q20" s="554"/>
      <c r="R20" s="587" t="s">
        <v>345</v>
      </c>
      <c r="W20" s="588">
        <f>W16</f>
        <v>151200</v>
      </c>
    </row>
    <row r="21" spans="1:23">
      <c r="A21" s="551" t="s">
        <v>346</v>
      </c>
      <c r="D21" s="589"/>
      <c r="E21" s="553"/>
      <c r="F21" s="589"/>
      <c r="H21" s="590"/>
      <c r="I21" s="553"/>
      <c r="J21" s="589"/>
      <c r="L21" s="590"/>
      <c r="M21" s="553"/>
      <c r="N21" s="589"/>
      <c r="P21" s="590"/>
      <c r="Q21" s="554"/>
      <c r="R21" s="584"/>
      <c r="S21" s="543" t="s">
        <v>347</v>
      </c>
      <c r="U21" s="591">
        <v>0.05</v>
      </c>
      <c r="W21" s="579">
        <f>SUM(W20*U21)</f>
        <v>7560</v>
      </c>
    </row>
    <row r="22" spans="1:23">
      <c r="A22" s="946" t="s">
        <v>348</v>
      </c>
      <c r="B22" s="947"/>
      <c r="C22" s="947"/>
      <c r="D22" s="592"/>
      <c r="E22" s="553"/>
      <c r="F22" s="589"/>
      <c r="H22" s="590"/>
      <c r="I22" s="553"/>
      <c r="J22" s="593"/>
      <c r="L22" s="590"/>
      <c r="M22" s="553"/>
      <c r="N22" s="593"/>
      <c r="P22" s="590"/>
      <c r="Q22" s="554"/>
      <c r="R22" s="584"/>
      <c r="S22" s="543" t="s">
        <v>349</v>
      </c>
      <c r="W22" s="594">
        <v>0</v>
      </c>
    </row>
    <row r="23" spans="1:23" ht="13.8">
      <c r="A23" s="595" t="s">
        <v>350</v>
      </c>
      <c r="E23" s="553"/>
      <c r="I23" s="553"/>
      <c r="M23" s="553"/>
      <c r="Q23" s="554"/>
      <c r="R23" s="587" t="s">
        <v>351</v>
      </c>
      <c r="W23" s="588">
        <f>SUM((W20-W21)+W22)</f>
        <v>143640</v>
      </c>
    </row>
    <row r="24" spans="1:23">
      <c r="A24" s="551"/>
      <c r="B24" s="596" t="s">
        <v>352</v>
      </c>
      <c r="D24" s="565">
        <f>IF(ISNUMBER(D8)=FALSE, 0, SUM(D8/D13))</f>
        <v>982240</v>
      </c>
      <c r="E24" s="553"/>
      <c r="F24" s="573">
        <f>IF(OR(F10="",F13=""), 0, SUM(F10/F13))</f>
        <v>1325000</v>
      </c>
      <c r="G24" s="547" t="s">
        <v>20</v>
      </c>
      <c r="H24" s="597">
        <f>SUM(H12:H22)</f>
        <v>0.06</v>
      </c>
      <c r="I24" s="553"/>
      <c r="J24" s="573">
        <f>IF(OR(J10="",J13=""), 0, SUM(J10/J13))</f>
        <v>668750</v>
      </c>
      <c r="K24" s="547" t="s">
        <v>20</v>
      </c>
      <c r="L24" s="597">
        <f>SUM(L12:L22)</f>
        <v>9.0000000000000011E-2</v>
      </c>
      <c r="M24" s="553"/>
      <c r="N24" s="573">
        <f>IF(OR(N10="",N13=""), 0, SUM(N10/N13))</f>
        <v>1600000</v>
      </c>
      <c r="O24" s="547" t="s">
        <v>20</v>
      </c>
      <c r="P24" s="597">
        <f>SUM(P11:P23)</f>
        <v>0.21000000000000002</v>
      </c>
      <c r="Q24" s="554"/>
      <c r="R24" s="584"/>
      <c r="S24" s="543" t="s">
        <v>353</v>
      </c>
      <c r="U24" s="591">
        <v>0.25</v>
      </c>
      <c r="W24" s="561">
        <f>SUM(W23*U24)</f>
        <v>35910</v>
      </c>
    </row>
    <row r="25" spans="1:23" ht="17.25" customHeight="1">
      <c r="A25" s="595" t="s">
        <v>354</v>
      </c>
      <c r="E25" s="553"/>
      <c r="F25" s="948">
        <f>SUM((F24*H24)+F24)</f>
        <v>1404500</v>
      </c>
      <c r="G25" s="948"/>
      <c r="H25" s="948"/>
      <c r="I25" s="553"/>
      <c r="J25" s="948">
        <f>SUM((J24*L24)+J24)</f>
        <v>728937.5</v>
      </c>
      <c r="K25" s="948"/>
      <c r="L25" s="948"/>
      <c r="M25" s="553"/>
      <c r="N25" s="948">
        <f>SUM((N24*P24)+N24)</f>
        <v>1936000</v>
      </c>
      <c r="O25" s="948"/>
      <c r="P25" s="948"/>
      <c r="Q25" s="554"/>
      <c r="R25" s="584"/>
      <c r="S25" s="598" t="s">
        <v>355</v>
      </c>
      <c r="T25" s="599"/>
      <c r="U25" s="600">
        <f>SUM(W24/R16)</f>
        <v>8977.5</v>
      </c>
      <c r="W25" s="579"/>
    </row>
    <row r="26" spans="1:23" ht="12.75" customHeight="1">
      <c r="A26" s="551"/>
      <c r="R26" s="587" t="s">
        <v>356</v>
      </c>
      <c r="W26" s="588">
        <f>SUM(W23-W24)</f>
        <v>107730</v>
      </c>
    </row>
    <row r="27" spans="1:23" ht="13.8">
      <c r="A27" s="601" t="s">
        <v>357</v>
      </c>
      <c r="G27" s="543"/>
      <c r="H27" s="602" t="s">
        <v>358</v>
      </c>
      <c r="J27" s="603">
        <v>500000</v>
      </c>
      <c r="K27" s="547" t="s">
        <v>20</v>
      </c>
      <c r="L27" s="604">
        <f>D13</f>
        <v>4</v>
      </c>
      <c r="M27" s="605" t="s">
        <v>359</v>
      </c>
      <c r="N27" s="949">
        <f>SUM(J27*L27)</f>
        <v>2000000</v>
      </c>
      <c r="O27" s="949"/>
      <c r="P27" s="949"/>
      <c r="R27" s="606"/>
      <c r="S27" s="607"/>
      <c r="T27" s="552" t="s">
        <v>360</v>
      </c>
      <c r="W27" s="579"/>
    </row>
    <row r="28" spans="1:23" ht="13.8" thickBot="1">
      <c r="A28" s="551"/>
      <c r="R28" s="608" t="s">
        <v>348</v>
      </c>
      <c r="S28" s="609" t="s">
        <v>361</v>
      </c>
      <c r="T28" s="552" t="s">
        <v>362</v>
      </c>
      <c r="W28" s="579"/>
    </row>
    <row r="29" spans="1:23" ht="13.8">
      <c r="A29" s="610" t="s">
        <v>363</v>
      </c>
      <c r="B29" s="611"/>
      <c r="C29" s="611"/>
      <c r="D29" s="612"/>
      <c r="E29" s="613"/>
      <c r="F29" s="613"/>
      <c r="G29" s="613"/>
      <c r="H29" s="613"/>
      <c r="I29" s="613"/>
      <c r="J29" s="613"/>
      <c r="K29" s="613"/>
      <c r="L29" s="613"/>
      <c r="M29" s="613"/>
      <c r="N29" s="613"/>
      <c r="O29" s="613"/>
      <c r="P29" s="613"/>
      <c r="Q29" s="614"/>
      <c r="R29" s="615">
        <v>4.4999999999999998E-2</v>
      </c>
      <c r="S29" s="609" t="s">
        <v>361</v>
      </c>
      <c r="T29" s="616">
        <f>INPUT!B50</f>
        <v>0</v>
      </c>
      <c r="W29" s="617">
        <f>SUM(R29+T29)</f>
        <v>4.4999999999999998E-2</v>
      </c>
    </row>
    <row r="30" spans="1:23">
      <c r="A30" s="618" t="s">
        <v>364</v>
      </c>
      <c r="B30" s="554"/>
      <c r="C30" s="554"/>
      <c r="D30" s="553"/>
      <c r="E30" s="936" t="s">
        <v>445</v>
      </c>
      <c r="F30" s="936"/>
      <c r="G30" s="936"/>
      <c r="H30" s="936"/>
      <c r="I30" s="936"/>
      <c r="J30" s="936"/>
      <c r="K30" s="936"/>
      <c r="L30" s="936"/>
      <c r="M30" s="936"/>
      <c r="N30" s="936"/>
      <c r="O30" s="936"/>
      <c r="P30" s="936"/>
      <c r="R30" s="584"/>
      <c r="W30" s="582"/>
    </row>
    <row r="31" spans="1:23" ht="13.8">
      <c r="A31" s="935" t="s">
        <v>446</v>
      </c>
      <c r="B31" s="936"/>
      <c r="C31" s="936"/>
      <c r="D31" s="936"/>
      <c r="E31" s="936"/>
      <c r="F31" s="936"/>
      <c r="G31" s="936"/>
      <c r="H31" s="936"/>
      <c r="I31" s="936"/>
      <c r="J31" s="936"/>
      <c r="K31" s="936"/>
      <c r="L31" s="936"/>
      <c r="M31" s="936"/>
      <c r="N31" s="936"/>
      <c r="O31" s="936"/>
      <c r="P31" s="936"/>
      <c r="R31" s="619" t="s">
        <v>365</v>
      </c>
      <c r="V31" s="620" t="s">
        <v>366</v>
      </c>
      <c r="W31" s="561">
        <f>IF(OR(W26=0, W29=0),0,SUM(W26/W29))</f>
        <v>2394000</v>
      </c>
    </row>
    <row r="32" spans="1:23" ht="14.25" customHeight="1">
      <c r="A32" s="937"/>
      <c r="B32" s="938"/>
      <c r="C32" s="938"/>
      <c r="D32" s="938"/>
      <c r="E32" s="938"/>
      <c r="F32" s="938"/>
      <c r="G32" s="938"/>
      <c r="H32" s="938"/>
      <c r="I32" s="938"/>
      <c r="J32" s="938"/>
      <c r="K32" s="938"/>
      <c r="L32" s="938"/>
      <c r="M32" s="938"/>
      <c r="N32" s="938"/>
      <c r="O32" s="938"/>
      <c r="P32" s="938"/>
      <c r="R32" s="621" t="s">
        <v>367</v>
      </c>
      <c r="S32" s="543" t="s">
        <v>368</v>
      </c>
      <c r="W32" s="622"/>
    </row>
    <row r="33" spans="1:26">
      <c r="A33" s="937"/>
      <c r="B33" s="938"/>
      <c r="C33" s="938"/>
      <c r="D33" s="938"/>
      <c r="E33" s="938"/>
      <c r="F33" s="938"/>
      <c r="G33" s="938"/>
      <c r="H33" s="938"/>
      <c r="I33" s="938"/>
      <c r="J33" s="938"/>
      <c r="K33" s="938"/>
      <c r="L33" s="938"/>
      <c r="M33" s="938"/>
      <c r="N33" s="938"/>
      <c r="O33" s="938"/>
      <c r="P33" s="938"/>
      <c r="R33" s="584"/>
      <c r="S33" s="543" t="s">
        <v>369</v>
      </c>
      <c r="W33" s="623"/>
    </row>
    <row r="34" spans="1:26" ht="13.8">
      <c r="A34" s="624" t="s">
        <v>370</v>
      </c>
      <c r="B34" s="625"/>
      <c r="C34" s="625"/>
      <c r="D34" s="625"/>
      <c r="E34" s="939" t="s">
        <v>447</v>
      </c>
      <c r="F34" s="939"/>
      <c r="G34" s="939"/>
      <c r="H34" s="939"/>
      <c r="I34" s="939"/>
      <c r="J34" s="939"/>
      <c r="K34" s="939"/>
      <c r="L34" s="939"/>
      <c r="M34" s="939"/>
      <c r="N34" s="939"/>
      <c r="O34" s="939"/>
      <c r="P34" s="939"/>
      <c r="R34" s="619" t="s">
        <v>371</v>
      </c>
      <c r="V34" s="620" t="s">
        <v>366</v>
      </c>
      <c r="W34" s="579">
        <f>SUM(W31:W33)</f>
        <v>2394000</v>
      </c>
    </row>
    <row r="35" spans="1:26">
      <c r="A35" s="937" t="s">
        <v>448</v>
      </c>
      <c r="B35" s="938"/>
      <c r="C35" s="938"/>
      <c r="D35" s="938"/>
      <c r="E35" s="938"/>
      <c r="F35" s="938"/>
      <c r="G35" s="938"/>
      <c r="H35" s="938"/>
      <c r="I35" s="938"/>
      <c r="J35" s="938"/>
      <c r="K35" s="938"/>
      <c r="L35" s="938"/>
      <c r="M35" s="938"/>
      <c r="N35" s="938"/>
      <c r="O35" s="938"/>
      <c r="P35" s="938"/>
      <c r="R35" s="584"/>
      <c r="W35" s="579"/>
    </row>
    <row r="36" spans="1:26" ht="14.4">
      <c r="A36" s="937"/>
      <c r="B36" s="938"/>
      <c r="C36" s="938"/>
      <c r="D36" s="938"/>
      <c r="E36" s="938"/>
      <c r="F36" s="938"/>
      <c r="G36" s="938"/>
      <c r="H36" s="938"/>
      <c r="I36" s="938"/>
      <c r="J36" s="938"/>
      <c r="K36" s="938"/>
      <c r="L36" s="938"/>
      <c r="M36" s="938"/>
      <c r="N36" s="938"/>
      <c r="O36" s="938"/>
      <c r="P36" s="938"/>
      <c r="R36" s="606" t="s">
        <v>372</v>
      </c>
      <c r="T36" s="607"/>
      <c r="V36" s="620" t="s">
        <v>366</v>
      </c>
      <c r="W36" s="626">
        <f>ROUND(W34,-3)</f>
        <v>2394000</v>
      </c>
    </row>
    <row r="37" spans="1:26" ht="14.4" customHeight="1">
      <c r="A37" s="940" t="s">
        <v>373</v>
      </c>
      <c r="B37" s="941"/>
      <c r="C37" s="941"/>
      <c r="D37" s="941"/>
      <c r="E37" s="942"/>
      <c r="F37" s="942"/>
      <c r="G37" s="942"/>
      <c r="H37" s="942"/>
      <c r="I37" s="942"/>
      <c r="J37" s="942"/>
      <c r="K37" s="942"/>
      <c r="L37" s="942"/>
      <c r="M37" s="942"/>
      <c r="N37" s="942"/>
      <c r="O37" s="942"/>
      <c r="P37" s="942"/>
      <c r="R37" s="584"/>
      <c r="W37" s="582"/>
    </row>
    <row r="38" spans="1:26" ht="13.8">
      <c r="A38" s="943" t="s">
        <v>374</v>
      </c>
      <c r="B38" s="944"/>
      <c r="C38" s="944"/>
      <c r="D38" s="944"/>
      <c r="E38" s="944"/>
      <c r="F38" s="944"/>
      <c r="G38" s="944"/>
      <c r="H38" s="944"/>
      <c r="I38" s="944"/>
      <c r="J38" s="944"/>
      <c r="K38" s="944"/>
      <c r="L38" s="944"/>
      <c r="M38" s="944"/>
      <c r="N38" s="944"/>
      <c r="O38" s="944"/>
      <c r="P38" s="944"/>
      <c r="R38" s="587" t="s">
        <v>375</v>
      </c>
      <c r="U38" s="627">
        <f>SUM(W36/R16)</f>
        <v>598500</v>
      </c>
      <c r="W38" s="582"/>
    </row>
    <row r="39" spans="1:26" ht="14.25" customHeight="1" thickBot="1">
      <c r="A39" s="943"/>
      <c r="B39" s="944"/>
      <c r="C39" s="944"/>
      <c r="D39" s="944"/>
      <c r="E39" s="944"/>
      <c r="F39" s="944"/>
      <c r="G39" s="944"/>
      <c r="H39" s="944"/>
      <c r="I39" s="944"/>
      <c r="J39" s="944"/>
      <c r="K39" s="944"/>
      <c r="L39" s="944"/>
      <c r="M39" s="944"/>
      <c r="N39" s="944"/>
      <c r="O39" s="944"/>
      <c r="P39" s="944"/>
      <c r="R39" s="628"/>
      <c r="S39" s="629"/>
      <c r="T39" s="629"/>
      <c r="U39" s="629"/>
      <c r="V39" s="629"/>
      <c r="W39" s="630"/>
    </row>
    <row r="40" spans="1:26">
      <c r="A40" s="618" t="s">
        <v>376</v>
      </c>
      <c r="B40" s="554"/>
      <c r="C40" s="554"/>
      <c r="D40" s="553"/>
      <c r="E40" s="945"/>
      <c r="F40" s="939"/>
      <c r="G40" s="939"/>
      <c r="H40" s="939"/>
      <c r="I40" s="939"/>
      <c r="J40" s="939"/>
      <c r="K40" s="939"/>
      <c r="L40" s="939"/>
      <c r="M40" s="939"/>
      <c r="N40" s="939"/>
      <c r="O40" s="939"/>
      <c r="P40" s="939"/>
      <c r="R40" s="932" t="s">
        <v>241</v>
      </c>
      <c r="S40" s="933"/>
      <c r="T40" s="933"/>
      <c r="U40" s="933"/>
      <c r="V40" s="933"/>
      <c r="W40" s="934"/>
    </row>
    <row r="41" spans="1:26" ht="13.8">
      <c r="A41" s="918"/>
      <c r="B41" s="919"/>
      <c r="C41" s="919"/>
      <c r="D41" s="919"/>
      <c r="E41" s="919"/>
      <c r="F41" s="919"/>
      <c r="G41" s="919"/>
      <c r="H41" s="919"/>
      <c r="I41" s="919"/>
      <c r="J41" s="919"/>
      <c r="K41" s="919"/>
      <c r="L41" s="919"/>
      <c r="M41" s="919"/>
      <c r="N41" s="919"/>
      <c r="O41" s="919"/>
      <c r="P41" s="919"/>
      <c r="R41" s="631" t="s">
        <v>377</v>
      </c>
      <c r="S41" s="559" t="s">
        <v>378</v>
      </c>
      <c r="T41" s="920">
        <v>24.75</v>
      </c>
      <c r="U41" s="921"/>
      <c r="W41" s="632">
        <f>MROUND((T41*(D19*43560)),1000)</f>
        <v>733000</v>
      </c>
      <c r="Z41" s="576"/>
    </row>
    <row r="42" spans="1:26">
      <c r="A42" s="922"/>
      <c r="B42" s="923"/>
      <c r="C42" s="923"/>
      <c r="D42" s="923"/>
      <c r="E42" s="923"/>
      <c r="F42" s="923"/>
      <c r="G42" s="923"/>
      <c r="H42" s="923"/>
      <c r="I42" s="923"/>
      <c r="J42" s="923"/>
      <c r="K42" s="923"/>
      <c r="L42" s="923"/>
      <c r="M42" s="923"/>
      <c r="N42" s="923"/>
      <c r="O42" s="923"/>
      <c r="P42" s="923"/>
      <c r="R42" s="584"/>
      <c r="W42" s="582"/>
    </row>
    <row r="43" spans="1:26" ht="13.8" thickBot="1">
      <c r="A43" s="924"/>
      <c r="B43" s="925"/>
      <c r="C43" s="925"/>
      <c r="D43" s="925"/>
      <c r="E43" s="925"/>
      <c r="F43" s="925"/>
      <c r="G43" s="633"/>
      <c r="H43" s="633"/>
      <c r="I43" s="633"/>
      <c r="J43" s="633"/>
      <c r="K43" s="633"/>
      <c r="L43" s="633"/>
      <c r="M43" s="633"/>
      <c r="N43" s="633"/>
      <c r="O43" s="633"/>
      <c r="P43" s="633"/>
      <c r="R43" s="631" t="s">
        <v>253</v>
      </c>
      <c r="T43" s="634" t="s">
        <v>378</v>
      </c>
      <c r="U43" s="635">
        <v>24.75</v>
      </c>
      <c r="W43" s="582"/>
    </row>
    <row r="44" spans="1:26" ht="14.4" thickTop="1">
      <c r="A44" s="926"/>
      <c r="B44" s="927"/>
      <c r="C44" s="927"/>
      <c r="D44" s="927"/>
      <c r="E44" s="927"/>
      <c r="F44" s="927"/>
      <c r="G44" s="543"/>
      <c r="H44" s="636"/>
      <c r="I44" s="637"/>
      <c r="J44" s="637"/>
      <c r="K44" s="637"/>
      <c r="L44" s="637"/>
      <c r="M44" s="637"/>
      <c r="N44" s="637"/>
      <c r="O44" s="637"/>
      <c r="P44" s="638"/>
      <c r="R44" s="584"/>
      <c r="T44" s="602" t="s">
        <v>379</v>
      </c>
      <c r="U44" s="639">
        <v>0.3</v>
      </c>
      <c r="W44" s="640">
        <f>SUM((U44*43560)*U43)</f>
        <v>323433</v>
      </c>
    </row>
    <row r="45" spans="1:26" ht="16.8">
      <c r="A45" s="928"/>
      <c r="B45" s="929"/>
      <c r="C45" s="929"/>
      <c r="D45" s="929"/>
      <c r="E45" s="929"/>
      <c r="F45" s="929"/>
      <c r="G45" s="641"/>
      <c r="H45" s="642" t="s">
        <v>380</v>
      </c>
      <c r="J45" s="641"/>
      <c r="K45" s="620"/>
      <c r="L45" s="643"/>
      <c r="M45" s="607" t="s">
        <v>366</v>
      </c>
      <c r="N45" s="930">
        <v>1980000</v>
      </c>
      <c r="O45" s="930"/>
      <c r="P45" s="931"/>
      <c r="R45" s="631" t="s">
        <v>381</v>
      </c>
      <c r="W45" s="644">
        <f>SUM(N45-W41)</f>
        <v>1247000</v>
      </c>
    </row>
    <row r="46" spans="1:26" ht="14.4" thickBot="1">
      <c r="A46" s="916" t="s">
        <v>382</v>
      </c>
      <c r="B46" s="917"/>
      <c r="C46" s="917"/>
      <c r="D46" s="917"/>
      <c r="E46" s="917"/>
      <c r="F46" s="917"/>
      <c r="G46" s="645"/>
      <c r="H46" s="646"/>
      <c r="I46" s="645"/>
      <c r="J46" s="645"/>
      <c r="K46" s="645"/>
      <c r="L46" s="645"/>
      <c r="M46" s="645"/>
      <c r="N46" s="645" t="s">
        <v>383</v>
      </c>
      <c r="O46" s="645"/>
      <c r="P46" s="647"/>
      <c r="Q46" s="648"/>
      <c r="R46" s="649"/>
      <c r="S46" s="648"/>
      <c r="T46" s="648"/>
      <c r="U46" s="648" t="s">
        <v>384</v>
      </c>
      <c r="V46" s="650" t="s">
        <v>366</v>
      </c>
      <c r="W46" s="651">
        <f>SUM(W41+W44+W45)</f>
        <v>2303433</v>
      </c>
    </row>
    <row r="47" spans="1:26" ht="13.8" thickTop="1">
      <c r="A47" s="576"/>
      <c r="W47" s="652"/>
    </row>
    <row r="48" spans="1:26">
      <c r="W48" s="652"/>
    </row>
    <row r="49" spans="6:23">
      <c r="W49" s="652"/>
    </row>
    <row r="50" spans="6:23">
      <c r="N50" s="653"/>
      <c r="W50" s="652"/>
    </row>
    <row r="55" spans="6:23">
      <c r="F55" s="653"/>
    </row>
  </sheetData>
  <mergeCells count="35">
    <mergeCell ref="A11:C12"/>
    <mergeCell ref="D11:D12"/>
    <mergeCell ref="F11:F12"/>
    <mergeCell ref="J11:J12"/>
    <mergeCell ref="N11:N12"/>
    <mergeCell ref="E30:P30"/>
    <mergeCell ref="H1:Q1"/>
    <mergeCell ref="U1:W1"/>
    <mergeCell ref="D4:P4"/>
    <mergeCell ref="R4:W4"/>
    <mergeCell ref="A22:C22"/>
    <mergeCell ref="F25:H25"/>
    <mergeCell ref="J25:L25"/>
    <mergeCell ref="N25:P25"/>
    <mergeCell ref="N27:P27"/>
    <mergeCell ref="R40:W40"/>
    <mergeCell ref="A31:P31"/>
    <mergeCell ref="A32:P32"/>
    <mergeCell ref="A33:P33"/>
    <mergeCell ref="E34:P34"/>
    <mergeCell ref="A35:P35"/>
    <mergeCell ref="A36:P36"/>
    <mergeCell ref="A37:D37"/>
    <mergeCell ref="E37:P37"/>
    <mergeCell ref="A38:P38"/>
    <mergeCell ref="A39:P39"/>
    <mergeCell ref="E40:P40"/>
    <mergeCell ref="A46:F46"/>
    <mergeCell ref="A41:P41"/>
    <mergeCell ref="T41:U41"/>
    <mergeCell ref="A42:P42"/>
    <mergeCell ref="A43:F43"/>
    <mergeCell ref="A44:F44"/>
    <mergeCell ref="A45:F45"/>
    <mergeCell ref="N45:P45"/>
  </mergeCells>
  <printOptions horizontalCentered="1" verticalCentered="1"/>
  <pageMargins left="0.25" right="0.25" top="0.75" bottom="0.75" header="0.3" footer="0.3"/>
  <pageSetup scale="79" orientation="landscape" r:id="rId1"/>
  <headerFooter alignWithMargins="0">
    <oddFooter xml:space="preserve">&amp;L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678994-0565-476C-865F-2E6DA2FF377E}">
  <sheetPr codeName="Sheet23">
    <tabColor rgb="FF7030A0"/>
  </sheetPr>
  <dimension ref="A1:P242"/>
  <sheetViews>
    <sheetView view="pageLayout" topLeftCell="A81" zoomScaleNormal="85" zoomScaleSheetLayoutView="100" workbookViewId="0">
      <selection activeCell="D8" sqref="D8"/>
    </sheetView>
  </sheetViews>
  <sheetFormatPr defaultColWidth="12.5546875" defaultRowHeight="14.4" customHeight="1"/>
  <cols>
    <col min="1" max="8" width="12.6640625" style="241" customWidth="1"/>
    <col min="9" max="16384" width="12.5546875" style="241"/>
  </cols>
  <sheetData>
    <row r="1" spans="1:16" ht="14.4" customHeight="1">
      <c r="A1" s="870" t="s">
        <v>88</v>
      </c>
      <c r="B1" s="870"/>
      <c r="C1" s="870"/>
      <c r="D1" s="870"/>
      <c r="E1" s="870"/>
      <c r="F1" s="870"/>
      <c r="G1" s="870"/>
      <c r="H1" s="870"/>
      <c r="I1" s="245"/>
      <c r="J1" s="245"/>
    </row>
    <row r="2" spans="1:16" ht="14.4" customHeight="1">
      <c r="A2" s="21"/>
      <c r="B2" s="244"/>
      <c r="C2" s="244"/>
      <c r="D2" s="244"/>
      <c r="E2" s="244"/>
      <c r="F2" s="244"/>
      <c r="G2" s="244"/>
      <c r="H2" s="244"/>
      <c r="I2" s="244"/>
    </row>
    <row r="3" spans="1:16" ht="14.4" customHeight="1">
      <c r="A3" s="244"/>
      <c r="B3" s="244"/>
      <c r="C3" s="244"/>
      <c r="D3" s="244"/>
      <c r="E3" s="244"/>
      <c r="F3" s="244"/>
      <c r="G3" s="244"/>
      <c r="H3" s="244"/>
      <c r="I3" s="244"/>
    </row>
    <row r="4" spans="1:16" ht="14.4" customHeight="1">
      <c r="A4" s="244"/>
      <c r="B4" s="244"/>
      <c r="C4" s="244"/>
      <c r="D4" s="244"/>
      <c r="E4" s="244"/>
      <c r="F4" s="244"/>
      <c r="G4" s="244"/>
      <c r="H4" s="244"/>
      <c r="I4" s="244"/>
      <c r="J4" s="243"/>
    </row>
    <row r="5" spans="1:16" ht="14.4" customHeight="1">
      <c r="A5" s="244"/>
      <c r="B5" s="244"/>
      <c r="C5" s="244"/>
      <c r="D5" s="244"/>
      <c r="E5" s="244"/>
      <c r="F5" s="244"/>
      <c r="G5" s="244"/>
      <c r="H5" s="244"/>
      <c r="I5" s="244"/>
    </row>
    <row r="6" spans="1:16" ht="14.4" customHeight="1">
      <c r="A6" s="244"/>
      <c r="B6" s="21"/>
      <c r="C6" s="244"/>
      <c r="D6" s="244"/>
      <c r="E6" s="21"/>
      <c r="F6" s="244"/>
      <c r="G6" s="244"/>
      <c r="H6" s="244"/>
    </row>
    <row r="7" spans="1:16" ht="14.4" customHeight="1">
      <c r="A7" s="244"/>
      <c r="B7" s="244"/>
      <c r="C7" s="244"/>
      <c r="D7" s="244"/>
      <c r="E7" s="244"/>
      <c r="F7" s="244"/>
      <c r="G7" s="244"/>
      <c r="H7" s="244"/>
      <c r="J7" s="243"/>
    </row>
    <row r="8" spans="1:16" ht="14.4" customHeight="1">
      <c r="A8" s="244"/>
      <c r="B8" s="244"/>
      <c r="C8" s="244"/>
      <c r="D8" s="244"/>
      <c r="E8" s="244"/>
      <c r="F8" s="244"/>
      <c r="G8" s="244"/>
      <c r="H8" s="244"/>
      <c r="I8" s="12"/>
      <c r="J8" s="12"/>
      <c r="K8" s="12"/>
      <c r="L8" s="12"/>
      <c r="M8" s="12"/>
      <c r="P8"/>
    </row>
    <row r="9" spans="1:16" ht="14.4" customHeight="1">
      <c r="A9" s="244"/>
      <c r="B9" s="244"/>
      <c r="C9" s="21"/>
      <c r="D9" s="244"/>
      <c r="E9" s="244"/>
      <c r="F9" s="244"/>
      <c r="G9" s="244"/>
      <c r="H9" s="244"/>
      <c r="I9" s="12"/>
      <c r="J9" s="12"/>
      <c r="K9" s="12"/>
      <c r="L9" s="12"/>
      <c r="M9" s="12"/>
    </row>
    <row r="10" spans="1:16" ht="14.4" customHeight="1">
      <c r="A10" s="244"/>
      <c r="B10" s="244"/>
      <c r="C10" s="244"/>
      <c r="D10" s="244"/>
      <c r="E10" s="244"/>
      <c r="F10" s="244"/>
      <c r="G10" s="244"/>
      <c r="H10" s="244"/>
      <c r="I10" s="12"/>
      <c r="J10" s="12"/>
      <c r="K10" s="309" t="s">
        <v>295</v>
      </c>
      <c r="L10" s="12"/>
      <c r="M10" s="12"/>
    </row>
    <row r="11" spans="1:16" ht="14.4" customHeight="1">
      <c r="A11" s="244"/>
      <c r="B11" s="244"/>
      <c r="C11" s="244"/>
      <c r="D11" s="244"/>
      <c r="E11" s="244"/>
      <c r="F11" s="244"/>
      <c r="G11" s="244"/>
      <c r="H11" s="244"/>
      <c r="I11" s="12"/>
      <c r="J11" s="12"/>
      <c r="K11" s="12"/>
      <c r="L11" s="12"/>
      <c r="M11" s="12"/>
    </row>
    <row r="12" spans="1:16" ht="14.4" customHeight="1">
      <c r="A12" s="244"/>
      <c r="B12" s="244"/>
      <c r="C12" s="244"/>
      <c r="D12" s="244"/>
      <c r="E12" s="244"/>
      <c r="F12" s="244"/>
      <c r="G12" s="244"/>
      <c r="H12" s="244"/>
    </row>
    <row r="13" spans="1:16" ht="14.4" customHeight="1">
      <c r="A13" s="244"/>
      <c r="B13" s="244"/>
      <c r="C13" s="244"/>
      <c r="D13" s="244"/>
      <c r="E13" s="244"/>
      <c r="F13" s="244"/>
      <c r="G13" s="244"/>
      <c r="H13" s="244"/>
    </row>
    <row r="14" spans="1:16" ht="14.4" customHeight="1">
      <c r="A14" s="244"/>
      <c r="B14" s="244"/>
      <c r="C14" s="244"/>
      <c r="D14" s="244"/>
      <c r="E14" s="244"/>
      <c r="F14" s="244"/>
      <c r="G14" s="244"/>
      <c r="H14" s="244"/>
    </row>
    <row r="15" spans="1:16" ht="14.4" customHeight="1">
      <c r="A15" s="244"/>
      <c r="B15" s="244"/>
      <c r="C15" s="244"/>
      <c r="D15" s="244"/>
      <c r="E15" s="244"/>
      <c r="F15" s="244"/>
      <c r="G15" s="244"/>
      <c r="H15" s="244"/>
      <c r="I15" s="244"/>
    </row>
    <row r="16" spans="1:16" ht="14.4" customHeight="1">
      <c r="A16" s="244"/>
      <c r="B16" s="244"/>
      <c r="C16" s="244"/>
      <c r="D16" s="244"/>
      <c r="E16" s="244"/>
      <c r="F16" s="244"/>
      <c r="G16" s="244"/>
      <c r="H16" s="244"/>
      <c r="I16" s="244"/>
    </row>
    <row r="17" spans="1:13" ht="14.4" customHeight="1">
      <c r="A17" s="244"/>
      <c r="B17" s="244"/>
      <c r="C17" s="244"/>
      <c r="D17" s="244"/>
      <c r="E17" s="244"/>
      <c r="F17" s="244"/>
      <c r="G17" s="244"/>
      <c r="H17" s="244"/>
      <c r="I17" s="244"/>
    </row>
    <row r="18" spans="1:13" ht="14.4" customHeight="1">
      <c r="A18" s="244"/>
      <c r="B18" s="244"/>
      <c r="C18" s="244"/>
      <c r="D18" s="244"/>
      <c r="E18" s="244"/>
      <c r="F18" s="244"/>
      <c r="G18" s="244"/>
      <c r="H18" s="244"/>
      <c r="I18" s="244"/>
    </row>
    <row r="19" spans="1:13" ht="14.4" customHeight="1">
      <c r="A19" s="244"/>
      <c r="B19" s="244"/>
      <c r="C19" s="244"/>
      <c r="D19" s="244"/>
      <c r="E19" s="244"/>
      <c r="F19" s="244"/>
      <c r="G19" s="244"/>
      <c r="H19" s="244"/>
      <c r="I19" s="244"/>
    </row>
    <row r="20" spans="1:13" ht="14.4" customHeight="1">
      <c r="A20" s="244"/>
      <c r="B20" s="244"/>
      <c r="C20" s="244"/>
      <c r="D20" s="244"/>
      <c r="E20" s="244"/>
      <c r="F20" s="244"/>
      <c r="G20" s="244"/>
      <c r="H20" s="244"/>
      <c r="I20" s="244"/>
    </row>
    <row r="21" spans="1:13" ht="14.4" customHeight="1">
      <c r="A21" s="244"/>
      <c r="B21" s="244"/>
      <c r="C21" s="244"/>
      <c r="D21" s="244"/>
      <c r="E21" s="244"/>
      <c r="F21" s="244"/>
      <c r="G21" s="244"/>
      <c r="H21" s="244"/>
    </row>
    <row r="22" spans="1:13" ht="14.4" customHeight="1">
      <c r="A22" s="244"/>
      <c r="B22" s="244"/>
      <c r="C22" s="244"/>
      <c r="D22" s="244"/>
      <c r="E22" s="244"/>
      <c r="F22" s="244"/>
      <c r="G22" s="244"/>
      <c r="H22" s="244"/>
    </row>
    <row r="23" spans="1:13" ht="14.4" customHeight="1">
      <c r="A23" s="244"/>
      <c r="B23" s="244"/>
      <c r="C23" s="244"/>
      <c r="D23" s="244"/>
      <c r="E23" s="244"/>
      <c r="F23" s="244"/>
      <c r="G23" s="244"/>
      <c r="H23" s="244"/>
    </row>
    <row r="24" spans="1:13" ht="14.4" customHeight="1">
      <c r="A24" s="244"/>
      <c r="B24" s="244"/>
      <c r="C24" s="244"/>
      <c r="D24" s="244"/>
      <c r="E24" s="244"/>
      <c r="F24" s="244"/>
      <c r="G24" s="244"/>
      <c r="H24" s="244"/>
      <c r="I24" s="248"/>
      <c r="J24" s="248"/>
      <c r="K24" s="248"/>
      <c r="L24" s="248"/>
      <c r="M24" s="12"/>
    </row>
    <row r="25" spans="1:13" ht="14.4" customHeight="1">
      <c r="A25" s="246" t="s">
        <v>288</v>
      </c>
      <c r="B25" s="246" t="s">
        <v>263</v>
      </c>
      <c r="C25" s="246" t="s">
        <v>260</v>
      </c>
      <c r="D25" s="246" t="str">
        <f>IF(INPUT!G3,"ACREAGE","SQ FT")</f>
        <v>SQ FT</v>
      </c>
      <c r="E25" s="246" t="str">
        <f>IF(INPUT!G3,"ADJ. $/ACRE","ADJ. $/SQ FT")</f>
        <v>ADJ. $/SQ FT</v>
      </c>
      <c r="F25" s="878" t="s">
        <v>294</v>
      </c>
      <c r="G25" s="878"/>
      <c r="H25" s="878"/>
      <c r="I25" s="12"/>
      <c r="J25" s="12"/>
      <c r="K25" s="12"/>
      <c r="L25" s="12"/>
      <c r="M25" s="12"/>
    </row>
    <row r="26" spans="1:13" ht="14.4" customHeight="1">
      <c r="A26" s="879">
        <f>'Sales Grid'!D9</f>
        <v>101370038</v>
      </c>
      <c r="B26" s="960">
        <f>IF(INPUT!G3,'Land Grid'!D14,'Sales Grid'!D15)</f>
        <v>46114</v>
      </c>
      <c r="C26" s="961">
        <f>IF(INPUT!G3,'Land Grid'!D15,'Sales Grid'!D16)</f>
        <v>5300000</v>
      </c>
      <c r="D26" s="962">
        <f>IF(INPUT!G3,'Land Grid'!D17,'Sales Grid'!D19)</f>
        <v>17767</v>
      </c>
      <c r="E26" s="883">
        <f>IF(INPUT!G3,'Land Grid'!D38,'Sales Grid'!D38)</f>
        <v>357.97199999999998</v>
      </c>
      <c r="F26" s="879" t="str">
        <f>CONCATENATE("",UPPER(TEXT('Sales Grid'!D10,"")),", ",UPPER(TEXT('Sales Grid'!D11,"")),", CA")</f>
        <v>255 GLIDER CIR, CORONA, CA</v>
      </c>
      <c r="G26" s="879"/>
      <c r="H26" s="879"/>
      <c r="I26" s="12"/>
      <c r="J26" s="12"/>
      <c r="K26" s="12"/>
      <c r="L26" s="12"/>
      <c r="M26" s="12"/>
    </row>
    <row r="27" spans="1:13" ht="14.25" customHeight="1">
      <c r="A27" s="879"/>
      <c r="B27" s="960"/>
      <c r="C27" s="961"/>
      <c r="D27" s="962"/>
      <c r="E27" s="883"/>
      <c r="F27" s="879"/>
      <c r="G27" s="879"/>
      <c r="H27" s="879"/>
    </row>
    <row r="28" spans="1:13" ht="14.4" customHeight="1">
      <c r="A28" s="244"/>
      <c r="B28" s="244"/>
      <c r="C28" s="244"/>
      <c r="D28" s="244"/>
      <c r="E28" s="244"/>
      <c r="F28" s="244"/>
      <c r="G28" s="244"/>
      <c r="H28" s="244"/>
    </row>
    <row r="29" spans="1:13" ht="14.4" customHeight="1">
      <c r="A29" s="244"/>
      <c r="B29" s="244"/>
      <c r="C29" s="244"/>
      <c r="D29" s="244"/>
      <c r="E29" s="244"/>
      <c r="F29" s="244"/>
      <c r="G29" s="244"/>
      <c r="H29" s="244"/>
    </row>
    <row r="30" spans="1:13" ht="14.4" customHeight="1">
      <c r="A30" s="244"/>
      <c r="B30" s="244"/>
      <c r="C30" s="244"/>
      <c r="D30" s="244"/>
      <c r="E30" s="244"/>
      <c r="F30" s="244"/>
      <c r="G30" s="244"/>
      <c r="H30" s="244"/>
    </row>
    <row r="31" spans="1:13" ht="14.4" customHeight="1">
      <c r="A31" s="244"/>
      <c r="B31" s="244"/>
      <c r="C31" s="244"/>
      <c r="D31" s="244"/>
      <c r="E31" s="244"/>
      <c r="F31" s="244"/>
      <c r="G31" s="244"/>
      <c r="H31" s="244"/>
      <c r="I31" s="12"/>
      <c r="J31" s="12"/>
      <c r="K31" s="12"/>
      <c r="L31" s="12"/>
      <c r="M31" s="12"/>
    </row>
    <row r="32" spans="1:13" ht="14.4" customHeight="1">
      <c r="A32" s="244"/>
      <c r="B32" s="244"/>
      <c r="C32" s="244"/>
      <c r="D32" s="244"/>
      <c r="E32" s="244"/>
      <c r="F32" s="244"/>
      <c r="G32" s="244"/>
      <c r="H32" s="244"/>
      <c r="I32" s="12"/>
      <c r="J32" s="12"/>
      <c r="K32" s="12"/>
      <c r="L32" s="12"/>
      <c r="M32" s="12"/>
    </row>
    <row r="33" spans="1:15" ht="14.4" customHeight="1">
      <c r="A33" s="244"/>
      <c r="B33" s="244"/>
      <c r="C33" s="244"/>
      <c r="D33" s="244"/>
      <c r="E33" s="244"/>
      <c r="F33" s="244"/>
      <c r="G33" s="244"/>
      <c r="H33" s="244"/>
      <c r="I33" s="12"/>
      <c r="J33" s="12"/>
      <c r="K33" s="12"/>
      <c r="L33" s="12"/>
      <c r="M33" s="12"/>
    </row>
    <row r="34" spans="1:15" ht="14.4" customHeight="1">
      <c r="A34" s="244"/>
      <c r="B34" s="244"/>
      <c r="C34" s="244"/>
      <c r="D34" s="244"/>
      <c r="E34" s="244"/>
      <c r="F34" s="244"/>
      <c r="G34" s="244"/>
      <c r="H34" s="244"/>
      <c r="I34" s="12"/>
      <c r="J34" s="12"/>
      <c r="K34" s="12"/>
      <c r="L34" s="12"/>
      <c r="M34" s="12"/>
    </row>
    <row r="35" spans="1:15" ht="14.4" customHeight="1">
      <c r="A35" s="244"/>
      <c r="B35" s="244"/>
      <c r="C35" s="244"/>
      <c r="D35" s="244"/>
      <c r="E35" s="244"/>
      <c r="F35" s="244"/>
      <c r="G35" s="244"/>
      <c r="H35" s="244"/>
      <c r="I35" s="12"/>
      <c r="J35" s="12"/>
      <c r="K35" s="12"/>
      <c r="L35" s="12"/>
      <c r="M35" s="270"/>
    </row>
    <row r="36" spans="1:15" ht="14.4" customHeight="1">
      <c r="A36" s="244"/>
      <c r="B36" s="244"/>
      <c r="C36" s="244"/>
      <c r="D36" s="244"/>
      <c r="E36" s="244"/>
      <c r="F36" s="244"/>
      <c r="G36" s="244"/>
      <c r="H36" s="244"/>
      <c r="I36" s="12"/>
      <c r="J36" s="12"/>
      <c r="K36" s="12"/>
      <c r="L36" s="12"/>
      <c r="M36" s="270"/>
      <c r="O36" s="244"/>
    </row>
    <row r="37" spans="1:15" ht="14.4" customHeight="1">
      <c r="A37" s="244"/>
      <c r="B37" s="244"/>
      <c r="C37" s="244"/>
      <c r="D37" s="244"/>
      <c r="E37" s="244"/>
      <c r="F37" s="244"/>
      <c r="G37" s="244"/>
      <c r="H37" s="244"/>
      <c r="I37" s="12"/>
      <c r="J37" s="12"/>
      <c r="K37" s="12"/>
      <c r="L37" s="12"/>
      <c r="M37" s="12"/>
      <c r="O37" s="244"/>
    </row>
    <row r="38" spans="1:15" ht="14.4" customHeight="1">
      <c r="A38" s="244"/>
      <c r="B38" s="244"/>
      <c r="C38" s="244"/>
      <c r="D38" s="244"/>
      <c r="E38" s="244"/>
      <c r="F38" s="244"/>
      <c r="G38" s="244"/>
      <c r="H38" s="244"/>
      <c r="I38" s="12"/>
      <c r="J38" s="12"/>
      <c r="K38" s="12"/>
      <c r="L38" s="12"/>
      <c r="M38" s="12"/>
    </row>
    <row r="39" spans="1:15" ht="14.4" customHeight="1">
      <c r="A39" s="244"/>
      <c r="B39" s="244"/>
      <c r="C39" s="244"/>
      <c r="D39" s="244"/>
      <c r="E39" s="244"/>
      <c r="F39" s="244"/>
      <c r="G39" s="244"/>
      <c r="H39" s="244"/>
      <c r="I39" s="12"/>
      <c r="J39" s="12"/>
      <c r="K39" s="12"/>
      <c r="L39" s="12"/>
      <c r="M39" s="12"/>
    </row>
    <row r="40" spans="1:15" ht="14.4" customHeight="1">
      <c r="A40" s="244"/>
      <c r="B40" s="244"/>
      <c r="C40" s="244"/>
      <c r="D40" s="244"/>
      <c r="E40" s="244"/>
      <c r="F40" s="244"/>
      <c r="G40" s="244"/>
      <c r="H40" s="244"/>
      <c r="I40" s="12"/>
      <c r="J40" s="12"/>
      <c r="K40" s="12"/>
      <c r="L40" s="12"/>
      <c r="M40" s="12"/>
    </row>
    <row r="41" spans="1:15" ht="14.4" customHeight="1">
      <c r="A41" s="244"/>
      <c r="B41" s="244"/>
      <c r="C41" s="244"/>
      <c r="D41" s="244"/>
      <c r="E41" s="244"/>
      <c r="F41" s="244"/>
      <c r="G41" s="244"/>
      <c r="H41" s="244"/>
      <c r="I41" s="12"/>
      <c r="J41" s="12"/>
      <c r="K41" s="12"/>
      <c r="L41" s="12"/>
      <c r="M41" s="12"/>
    </row>
    <row r="42" spans="1:15" ht="14.4" customHeight="1">
      <c r="A42" s="244"/>
      <c r="B42" s="244"/>
      <c r="C42" s="244"/>
      <c r="D42" s="244"/>
      <c r="E42" s="244"/>
      <c r="F42" s="244"/>
      <c r="G42" s="244"/>
      <c r="H42" s="244"/>
      <c r="I42" s="244"/>
    </row>
    <row r="43" spans="1:15" ht="14.4" customHeight="1">
      <c r="A43" s="244"/>
      <c r="B43" s="244"/>
      <c r="C43" s="244"/>
      <c r="D43" s="244"/>
      <c r="E43" s="244"/>
      <c r="F43" s="244"/>
      <c r="G43" s="244"/>
      <c r="H43" s="244"/>
      <c r="I43" s="244"/>
    </row>
    <row r="44" spans="1:15" ht="14.4" customHeight="1">
      <c r="A44" s="244"/>
      <c r="B44" s="244"/>
      <c r="C44" s="244"/>
      <c r="D44" s="244"/>
      <c r="E44" s="244"/>
      <c r="F44" s="244"/>
      <c r="G44" s="244"/>
      <c r="H44" s="244"/>
      <c r="I44" s="244"/>
    </row>
    <row r="45" spans="1:15" ht="14.4" customHeight="1">
      <c r="A45" s="244"/>
      <c r="B45" s="244"/>
      <c r="C45" s="244"/>
      <c r="D45" s="244"/>
      <c r="E45" s="244"/>
      <c r="F45" s="244"/>
      <c r="G45" s="244"/>
      <c r="H45" s="244"/>
      <c r="I45" s="244"/>
    </row>
    <row r="46" spans="1:15" ht="14.4" customHeight="1">
      <c r="A46" s="244"/>
      <c r="B46" s="244"/>
      <c r="C46" s="244"/>
      <c r="D46" s="244"/>
      <c r="E46" s="244"/>
      <c r="F46" s="244"/>
      <c r="G46" s="244"/>
      <c r="H46" s="244"/>
      <c r="I46" s="244"/>
    </row>
    <row r="47" spans="1:15" ht="14.4" customHeight="1">
      <c r="A47" s="244"/>
      <c r="B47" s="244"/>
      <c r="C47" s="244"/>
      <c r="D47" s="244"/>
      <c r="E47" s="244"/>
      <c r="F47" s="244"/>
      <c r="G47" s="244"/>
      <c r="H47" s="244"/>
      <c r="I47" s="244"/>
    </row>
    <row r="48" spans="1:15" ht="14.4" customHeight="1">
      <c r="A48" s="244"/>
      <c r="B48" s="244"/>
      <c r="C48" s="244"/>
      <c r="D48" s="244"/>
      <c r="E48" s="244"/>
      <c r="F48" s="244"/>
      <c r="G48" s="244"/>
      <c r="H48" s="244"/>
      <c r="I48" s="244"/>
    </row>
    <row r="49" spans="1:13" ht="14.4" customHeight="1">
      <c r="A49" s="244"/>
      <c r="B49" s="244"/>
      <c r="C49" s="244"/>
      <c r="D49" s="244"/>
      <c r="E49" s="244"/>
      <c r="F49" s="244"/>
      <c r="G49" s="244"/>
      <c r="H49" s="244"/>
      <c r="I49" s="244"/>
    </row>
    <row r="50" spans="1:13" ht="14.4" customHeight="1">
      <c r="A50" s="244"/>
      <c r="B50" s="244"/>
      <c r="C50" s="244"/>
      <c r="D50" s="244"/>
      <c r="E50" s="244"/>
      <c r="F50" s="244"/>
      <c r="G50" s="244"/>
      <c r="H50" s="244"/>
      <c r="I50" s="244"/>
    </row>
    <row r="51" spans="1:13" ht="14.4" customHeight="1">
      <c r="A51" s="870" t="s">
        <v>87</v>
      </c>
      <c r="B51" s="870"/>
      <c r="C51" s="870"/>
      <c r="D51" s="870"/>
      <c r="E51" s="870"/>
      <c r="F51" s="870"/>
      <c r="G51" s="870"/>
      <c r="H51" s="870"/>
    </row>
    <row r="52" spans="1:13" ht="14.4" customHeight="1">
      <c r="A52" s="244"/>
      <c r="B52" s="244"/>
      <c r="C52" s="244"/>
      <c r="D52" s="244"/>
      <c r="E52" s="244"/>
      <c r="F52" s="244"/>
      <c r="G52" s="244"/>
      <c r="H52" s="244"/>
      <c r="I52" s="244"/>
    </row>
    <row r="53" spans="1:13" ht="14.4" customHeight="1">
      <c r="A53" s="244"/>
      <c r="B53" s="244"/>
      <c r="C53" s="244"/>
      <c r="D53" s="244"/>
      <c r="E53" s="244"/>
      <c r="F53" s="244"/>
      <c r="G53" s="244"/>
      <c r="H53" s="244"/>
      <c r="I53" s="244"/>
    </row>
    <row r="54" spans="1:13" ht="14.4" customHeight="1">
      <c r="A54" s="244"/>
      <c r="B54" s="244"/>
      <c r="C54" s="244"/>
      <c r="D54" s="244"/>
      <c r="E54" s="244"/>
      <c r="F54" s="244"/>
      <c r="G54" s="244"/>
      <c r="H54" s="244"/>
      <c r="I54" s="244"/>
      <c r="J54" s="243"/>
    </row>
    <row r="55" spans="1:13" ht="14.4" customHeight="1">
      <c r="A55" s="244"/>
      <c r="B55" s="244"/>
      <c r="C55" s="244"/>
      <c r="D55" s="244"/>
      <c r="E55" s="244"/>
      <c r="F55" s="244"/>
      <c r="G55" s="244"/>
      <c r="H55" s="244"/>
      <c r="I55" s="244"/>
    </row>
    <row r="56" spans="1:13" ht="14.4" customHeight="1">
      <c r="A56" s="244"/>
      <c r="B56" s="244"/>
      <c r="C56" s="244"/>
      <c r="D56" s="244"/>
      <c r="E56" s="244"/>
      <c r="F56" s="244"/>
      <c r="G56" s="244"/>
      <c r="H56" s="244"/>
    </row>
    <row r="57" spans="1:13" ht="14.4" customHeight="1">
      <c r="A57" s="244"/>
      <c r="B57" s="244"/>
      <c r="C57" s="244"/>
      <c r="D57" s="244"/>
      <c r="E57" s="244"/>
      <c r="F57" s="244"/>
      <c r="G57" s="244"/>
      <c r="H57" s="244"/>
      <c r="J57" s="243"/>
    </row>
    <row r="58" spans="1:13" ht="14.4" customHeight="1">
      <c r="A58" s="244"/>
      <c r="B58" s="244"/>
      <c r="C58" s="244"/>
      <c r="D58" s="244"/>
      <c r="E58" s="244"/>
      <c r="F58" s="244"/>
      <c r="G58" s="244"/>
      <c r="H58" s="244"/>
      <c r="I58" s="12"/>
      <c r="J58" s="12"/>
      <c r="K58" s="12"/>
      <c r="L58" s="12"/>
      <c r="M58" s="12"/>
    </row>
    <row r="59" spans="1:13" ht="14.4" customHeight="1">
      <c r="A59" s="244"/>
      <c r="B59" s="244"/>
      <c r="C59" s="244"/>
      <c r="D59" s="244"/>
      <c r="E59" s="244"/>
      <c r="F59" s="244"/>
      <c r="G59" s="244"/>
      <c r="H59" s="244"/>
      <c r="I59" s="12"/>
      <c r="J59" s="12"/>
      <c r="K59" s="12"/>
      <c r="L59" s="12"/>
      <c r="M59" s="12"/>
    </row>
    <row r="60" spans="1:13" ht="14.4" customHeight="1">
      <c r="A60" s="244"/>
      <c r="B60" s="244"/>
      <c r="C60" s="244"/>
      <c r="D60" s="244"/>
      <c r="E60" s="244"/>
      <c r="F60" s="244"/>
      <c r="G60" s="244"/>
      <c r="H60" s="244"/>
      <c r="I60" s="12"/>
      <c r="J60" s="12"/>
      <c r="K60" s="309" t="s">
        <v>295</v>
      </c>
      <c r="L60" s="12"/>
      <c r="M60" s="12"/>
    </row>
    <row r="61" spans="1:13" ht="14.4" customHeight="1">
      <c r="A61" s="244"/>
      <c r="B61" s="244"/>
      <c r="C61" s="244"/>
      <c r="D61" s="244"/>
      <c r="E61" s="244"/>
      <c r="F61" s="244"/>
      <c r="G61" s="244"/>
      <c r="H61" s="244"/>
      <c r="I61" s="12"/>
      <c r="J61" s="12"/>
      <c r="K61" s="12"/>
      <c r="L61" s="12"/>
      <c r="M61" s="12"/>
    </row>
    <row r="62" spans="1:13" ht="14.4" customHeight="1">
      <c r="A62" s="244"/>
      <c r="B62" s="244"/>
      <c r="C62" s="244"/>
      <c r="D62" s="244"/>
      <c r="E62" s="244"/>
      <c r="F62" s="244"/>
      <c r="G62" s="244"/>
      <c r="H62" s="244"/>
    </row>
    <row r="63" spans="1:13" ht="14.4" customHeight="1">
      <c r="A63" s="244"/>
      <c r="B63" s="244"/>
      <c r="C63" s="244"/>
      <c r="D63" s="244"/>
      <c r="E63" s="244"/>
      <c r="F63" s="244"/>
      <c r="G63" s="244"/>
      <c r="H63" s="244"/>
    </row>
    <row r="64" spans="1:13" ht="14.4" customHeight="1">
      <c r="A64" s="244"/>
      <c r="B64" s="244"/>
      <c r="C64" s="244"/>
      <c r="D64" s="244"/>
      <c r="E64" s="244"/>
      <c r="F64" s="244"/>
      <c r="G64" s="244"/>
      <c r="H64" s="244"/>
    </row>
    <row r="65" spans="1:14" ht="14.4" customHeight="1">
      <c r="A65" s="244"/>
      <c r="B65" s="244"/>
      <c r="C65" s="244"/>
      <c r="D65" s="244"/>
      <c r="E65" s="244"/>
      <c r="F65" s="244"/>
      <c r="G65" s="244"/>
      <c r="H65" s="244"/>
      <c r="I65" s="244"/>
    </row>
    <row r="66" spans="1:14" ht="14.4" customHeight="1">
      <c r="A66" s="244"/>
      <c r="B66" s="244"/>
      <c r="C66" s="244"/>
      <c r="D66" s="244"/>
      <c r="E66" s="244"/>
      <c r="F66" s="244"/>
      <c r="G66" s="244"/>
      <c r="H66" s="244"/>
      <c r="I66" s="244"/>
    </row>
    <row r="67" spans="1:14" ht="14.4" customHeight="1">
      <c r="A67" s="244"/>
      <c r="B67" s="244"/>
      <c r="C67" s="244"/>
      <c r="D67" s="244"/>
      <c r="E67" s="244"/>
      <c r="F67" s="244"/>
      <c r="G67" s="244"/>
      <c r="H67" s="244"/>
      <c r="I67" s="244"/>
    </row>
    <row r="68" spans="1:14" ht="14.4" customHeight="1">
      <c r="A68" s="244"/>
      <c r="B68" s="244"/>
      <c r="C68" s="244"/>
      <c r="D68" s="244"/>
      <c r="E68" s="244"/>
      <c r="F68" s="244"/>
      <c r="G68" s="244"/>
      <c r="H68" s="244"/>
      <c r="I68" s="244"/>
    </row>
    <row r="69" spans="1:14" ht="14.4" customHeight="1">
      <c r="A69" s="244"/>
      <c r="B69" s="244"/>
      <c r="C69" s="244"/>
      <c r="D69" s="244"/>
      <c r="E69" s="244"/>
      <c r="F69" s="244"/>
      <c r="G69" s="244"/>
      <c r="H69" s="244"/>
      <c r="I69" s="244"/>
    </row>
    <row r="70" spans="1:14" ht="14.4" customHeight="1">
      <c r="A70" s="244"/>
      <c r="B70" s="244"/>
      <c r="C70" s="244"/>
      <c r="D70" s="244"/>
      <c r="E70" s="244"/>
      <c r="F70" s="244"/>
      <c r="G70" s="244"/>
      <c r="H70" s="244"/>
      <c r="I70" s="244"/>
    </row>
    <row r="71" spans="1:14" ht="14.4" customHeight="1">
      <c r="A71" s="244"/>
      <c r="B71" s="244"/>
      <c r="C71" s="244"/>
      <c r="D71" s="244"/>
      <c r="E71" s="244"/>
      <c r="F71" s="244"/>
      <c r="G71" s="244"/>
      <c r="H71" s="244"/>
      <c r="I71" s="244"/>
    </row>
    <row r="72" spans="1:14" ht="14.4" customHeight="1">
      <c r="A72" s="244"/>
      <c r="B72" s="244"/>
      <c r="C72" s="244"/>
      <c r="D72" s="244"/>
      <c r="E72" s="244"/>
      <c r="F72" s="244"/>
      <c r="G72" s="244"/>
      <c r="H72" s="244"/>
      <c r="I72" s="244"/>
    </row>
    <row r="73" spans="1:14" ht="14.4" customHeight="1">
      <c r="A73" s="244"/>
      <c r="B73" s="244"/>
      <c r="C73" s="244"/>
      <c r="D73" s="244"/>
      <c r="E73" s="244"/>
      <c r="F73" s="244"/>
      <c r="G73" s="244"/>
      <c r="H73" s="244"/>
      <c r="I73" s="244"/>
    </row>
    <row r="74" spans="1:14" ht="14.4" customHeight="1">
      <c r="A74" s="244"/>
      <c r="B74" s="244"/>
      <c r="C74" s="244"/>
      <c r="D74" s="244"/>
      <c r="E74" s="244"/>
      <c r="F74" s="244"/>
      <c r="G74" s="244"/>
      <c r="H74" s="244"/>
      <c r="J74" s="244"/>
      <c r="K74" s="244"/>
      <c r="L74" s="244"/>
      <c r="M74" s="244"/>
      <c r="N74" s="244"/>
    </row>
    <row r="75" spans="1:14" ht="14.4" customHeight="1">
      <c r="A75" s="246" t="s">
        <v>288</v>
      </c>
      <c r="B75" s="246" t="s">
        <v>263</v>
      </c>
      <c r="C75" s="246" t="s">
        <v>260</v>
      </c>
      <c r="D75" s="246" t="str">
        <f>IF(INPUT!G3,"ACREAGE","SQ FT")</f>
        <v>SQ FT</v>
      </c>
      <c r="E75" s="246" t="str">
        <f>IF(INPUT!G3,"ADJ. $/ACRE","ADJ. $/SQ FT")</f>
        <v>ADJ. $/SQ FT</v>
      </c>
      <c r="F75" s="878" t="s">
        <v>294</v>
      </c>
      <c r="G75" s="878"/>
      <c r="H75" s="878"/>
      <c r="J75" s="244"/>
      <c r="K75" s="244"/>
      <c r="L75" s="244"/>
      <c r="M75" s="244"/>
      <c r="N75" s="244"/>
    </row>
    <row r="76" spans="1:14">
      <c r="A76" s="969">
        <f>'Sales Grid'!E9</f>
        <v>115200043</v>
      </c>
      <c r="B76" s="963">
        <f>IF(INPUT!G3,'Land Grid'!E14,'Sales Grid'!E15)</f>
        <v>46021</v>
      </c>
      <c r="C76" s="965">
        <f>IF(INPUT!G3,'Land Grid'!E15,'Sales Grid'!E16)</f>
        <v>2675000</v>
      </c>
      <c r="D76" s="967">
        <f>IF(INPUT!G3,'Land Grid'!E17,'Sales Grid'!E19)</f>
        <v>6936</v>
      </c>
      <c r="E76" s="971">
        <f>IF(INPUT!G3,'Land Grid'!E38,'Sales Grid'!E38)</f>
        <v>377.95659999999998</v>
      </c>
      <c r="F76" s="973" t="str">
        <f>CONCATENATE("",UPPER(TEXT('Sales Grid'!E10,"")),", ",UPPER(TEXT('Sales Grid'!E11,"")),", CA")</f>
        <v>127 RADIO RD, CORONA, CA</v>
      </c>
      <c r="G76" s="974"/>
      <c r="H76" s="975"/>
    </row>
    <row r="77" spans="1:14">
      <c r="A77" s="970"/>
      <c r="B77" s="964"/>
      <c r="C77" s="966"/>
      <c r="D77" s="968"/>
      <c r="E77" s="972"/>
      <c r="F77" s="976"/>
      <c r="G77" s="977"/>
      <c r="H77" s="978"/>
      <c r="I77" s="244"/>
    </row>
    <row r="78" spans="1:14" ht="14.4" customHeight="1">
      <c r="A78" s="244"/>
      <c r="B78" s="244"/>
      <c r="C78" s="244"/>
      <c r="D78" s="244"/>
      <c r="E78" s="244"/>
      <c r="F78" s="244"/>
      <c r="G78" s="244"/>
      <c r="H78" s="244"/>
      <c r="I78" s="244"/>
    </row>
    <row r="79" spans="1:14" ht="14.4" customHeight="1">
      <c r="A79" s="244"/>
      <c r="B79" s="244"/>
      <c r="C79" s="244"/>
      <c r="D79" s="244"/>
      <c r="E79" s="244"/>
      <c r="F79" s="244"/>
      <c r="G79" s="244"/>
      <c r="H79" s="244"/>
      <c r="I79" s="244"/>
    </row>
    <row r="80" spans="1:14" ht="14.4" customHeight="1">
      <c r="A80" s="244"/>
      <c r="B80" s="244"/>
      <c r="C80" s="244"/>
      <c r="D80" s="244"/>
      <c r="E80" s="244"/>
      <c r="F80" s="244"/>
      <c r="G80" s="244"/>
      <c r="H80" s="244"/>
      <c r="I80" s="244"/>
    </row>
    <row r="81" spans="1:9" ht="14.4" customHeight="1">
      <c r="A81" s="244"/>
      <c r="B81" s="244"/>
      <c r="C81" s="244"/>
      <c r="D81" s="244"/>
      <c r="E81" s="244"/>
      <c r="F81" s="244"/>
      <c r="G81" s="244"/>
      <c r="H81" s="244"/>
      <c r="I81" s="244"/>
    </row>
    <row r="82" spans="1:9" ht="14.4" customHeight="1">
      <c r="A82" s="244"/>
      <c r="B82" s="244"/>
      <c r="C82" s="244"/>
      <c r="D82" s="244"/>
      <c r="E82" s="244"/>
      <c r="F82" s="244"/>
      <c r="G82" s="244"/>
      <c r="H82" s="244"/>
      <c r="I82" s="244"/>
    </row>
    <row r="83" spans="1:9" ht="14.4" customHeight="1">
      <c r="A83" s="244"/>
      <c r="B83" s="244"/>
      <c r="C83" s="244"/>
      <c r="D83" s="244"/>
      <c r="E83" s="244"/>
      <c r="F83" s="244"/>
      <c r="G83" s="244"/>
      <c r="H83" s="244"/>
      <c r="I83" s="244"/>
    </row>
    <row r="84" spans="1:9" ht="14.4" customHeight="1">
      <c r="A84" s="244"/>
      <c r="B84" s="244"/>
      <c r="C84" s="244"/>
      <c r="D84" s="244"/>
      <c r="E84" s="244"/>
      <c r="F84" s="244"/>
      <c r="G84" s="244"/>
      <c r="H84" s="244"/>
      <c r="I84" s="244"/>
    </row>
    <row r="85" spans="1:9" ht="14.4" customHeight="1">
      <c r="A85" s="244"/>
      <c r="B85" s="244"/>
      <c r="C85" s="244"/>
      <c r="D85" s="244"/>
      <c r="E85" s="244"/>
      <c r="F85" s="244"/>
      <c r="G85" s="244"/>
      <c r="H85" s="244"/>
      <c r="I85" s="244"/>
    </row>
    <row r="86" spans="1:9" ht="14.4" customHeight="1">
      <c r="A86" s="244"/>
      <c r="B86" s="244"/>
      <c r="C86" s="244"/>
      <c r="D86" s="244"/>
      <c r="E86" s="244"/>
      <c r="F86" s="244"/>
      <c r="G86" s="244"/>
      <c r="H86" s="244"/>
      <c r="I86" s="244"/>
    </row>
    <row r="87" spans="1:9" ht="14.4" customHeight="1">
      <c r="A87" s="244"/>
      <c r="B87" s="244"/>
      <c r="C87" s="244"/>
      <c r="D87" s="244"/>
      <c r="E87" s="244"/>
      <c r="F87" s="244"/>
      <c r="G87" s="244"/>
      <c r="H87" s="244"/>
      <c r="I87" s="244"/>
    </row>
    <row r="88" spans="1:9" ht="14.4" customHeight="1">
      <c r="A88" s="244"/>
      <c r="B88" s="244"/>
      <c r="C88" s="244"/>
      <c r="D88" s="244"/>
      <c r="E88" s="244"/>
      <c r="F88" s="244"/>
      <c r="G88" s="244"/>
      <c r="H88" s="244"/>
      <c r="I88" s="244"/>
    </row>
    <row r="89" spans="1:9" ht="14.4" customHeight="1">
      <c r="A89" s="244"/>
      <c r="B89" s="244"/>
      <c r="C89" s="244"/>
      <c r="D89" s="244"/>
      <c r="E89" s="244"/>
      <c r="F89" s="244"/>
      <c r="G89" s="244"/>
      <c r="H89" s="244"/>
      <c r="I89" s="244"/>
    </row>
    <row r="90" spans="1:9" ht="14.4" customHeight="1">
      <c r="A90" s="244"/>
      <c r="B90" s="244"/>
      <c r="C90" s="244"/>
      <c r="D90" s="244"/>
      <c r="E90" s="244"/>
      <c r="F90" s="244"/>
      <c r="G90" s="244"/>
      <c r="H90" s="244"/>
      <c r="I90" s="244"/>
    </row>
    <row r="91" spans="1:9" ht="14.4" customHeight="1">
      <c r="A91" s="244"/>
      <c r="B91" s="244"/>
      <c r="C91" s="244"/>
      <c r="D91" s="244"/>
      <c r="E91" s="244"/>
      <c r="F91" s="244"/>
      <c r="G91" s="244"/>
      <c r="H91" s="244"/>
      <c r="I91" s="244"/>
    </row>
    <row r="92" spans="1:9" ht="14.4" customHeight="1">
      <c r="A92" s="244"/>
      <c r="B92" s="244"/>
      <c r="C92" s="244"/>
      <c r="D92" s="244"/>
      <c r="E92" s="244"/>
      <c r="F92" s="244"/>
      <c r="G92" s="244"/>
      <c r="H92" s="244"/>
      <c r="I92" s="244"/>
    </row>
    <row r="93" spans="1:9" ht="14.4" customHeight="1">
      <c r="A93" s="244"/>
      <c r="B93" s="244"/>
      <c r="C93" s="244"/>
      <c r="D93" s="244"/>
      <c r="E93" s="244"/>
      <c r="F93" s="244"/>
      <c r="G93" s="244"/>
      <c r="H93" s="244"/>
      <c r="I93" s="244"/>
    </row>
    <row r="94" spans="1:9" ht="14.4" customHeight="1">
      <c r="A94" s="244"/>
      <c r="B94" s="244"/>
      <c r="C94" s="244"/>
      <c r="D94" s="244"/>
      <c r="E94" s="244"/>
      <c r="F94" s="244"/>
      <c r="G94" s="244"/>
      <c r="H94" s="244"/>
      <c r="I94" s="244"/>
    </row>
    <row r="95" spans="1:9" ht="14.4" customHeight="1">
      <c r="A95" s="244"/>
      <c r="B95" s="244"/>
      <c r="C95" s="244"/>
      <c r="D95" s="244"/>
      <c r="E95" s="244"/>
      <c r="F95" s="244"/>
      <c r="G95" s="244"/>
      <c r="H95" s="244"/>
      <c r="I95" s="244"/>
    </row>
    <row r="96" spans="1:9" ht="14.4" customHeight="1">
      <c r="A96" s="244"/>
      <c r="B96" s="244"/>
      <c r="C96" s="244"/>
      <c r="D96" s="244"/>
      <c r="E96" s="244"/>
      <c r="F96" s="244"/>
      <c r="G96" s="244"/>
      <c r="H96" s="244"/>
      <c r="I96" s="244"/>
    </row>
    <row r="97" spans="1:13" ht="14.4" customHeight="1">
      <c r="A97" s="244"/>
      <c r="B97" s="244"/>
      <c r="C97" s="244"/>
      <c r="D97" s="244"/>
      <c r="E97" s="244"/>
      <c r="F97" s="244"/>
      <c r="G97" s="244"/>
      <c r="H97" s="244"/>
      <c r="I97" s="244"/>
    </row>
    <row r="98" spans="1:13" ht="14.4" customHeight="1">
      <c r="A98" s="244"/>
      <c r="B98" s="244"/>
      <c r="C98" s="244"/>
      <c r="D98" s="244"/>
      <c r="E98" s="244"/>
      <c r="F98" s="244"/>
      <c r="G98" s="244"/>
      <c r="H98" s="244"/>
      <c r="I98" s="244"/>
    </row>
    <row r="99" spans="1:13" ht="14.4" customHeight="1">
      <c r="A99" s="244"/>
      <c r="B99" s="244"/>
      <c r="C99" s="244"/>
      <c r="D99" s="244"/>
      <c r="E99" s="244"/>
      <c r="F99" s="244"/>
      <c r="G99" s="244"/>
      <c r="H99" s="244"/>
      <c r="I99" s="244"/>
    </row>
    <row r="100" spans="1:13" ht="14.4" customHeight="1">
      <c r="A100" s="244"/>
      <c r="B100" s="244"/>
      <c r="C100" s="244"/>
      <c r="D100" s="244"/>
      <c r="E100" s="244"/>
      <c r="F100" s="244"/>
      <c r="G100" s="244"/>
      <c r="H100" s="244"/>
      <c r="I100" s="244"/>
    </row>
    <row r="101" spans="1:13" ht="14.4" customHeight="1">
      <c r="A101" s="870" t="s">
        <v>159</v>
      </c>
      <c r="B101" s="870"/>
      <c r="C101" s="870"/>
      <c r="D101" s="870"/>
      <c r="E101" s="870"/>
      <c r="F101" s="870"/>
      <c r="G101" s="870"/>
      <c r="H101" s="870"/>
    </row>
    <row r="102" spans="1:13" ht="14.4" customHeight="1">
      <c r="A102" s="244"/>
      <c r="B102" s="244"/>
      <c r="C102" s="244"/>
      <c r="D102" s="244"/>
      <c r="E102" s="244"/>
      <c r="F102" s="244"/>
      <c r="G102" s="244"/>
      <c r="H102" s="244"/>
      <c r="I102" s="244"/>
    </row>
    <row r="103" spans="1:13" ht="14.4" customHeight="1">
      <c r="A103" s="244"/>
      <c r="B103" s="244"/>
      <c r="C103" s="244"/>
      <c r="D103" s="244"/>
      <c r="E103" s="244"/>
      <c r="F103" s="244"/>
      <c r="G103" s="244"/>
      <c r="H103" s="244"/>
      <c r="I103" s="244"/>
    </row>
    <row r="104" spans="1:13" ht="14.4" customHeight="1">
      <c r="A104" s="244"/>
      <c r="B104" s="244"/>
      <c r="C104" s="244"/>
      <c r="D104" s="244"/>
      <c r="E104" s="244"/>
      <c r="F104" s="244"/>
      <c r="G104" s="244"/>
      <c r="H104" s="244"/>
      <c r="I104" s="244"/>
      <c r="J104" s="243"/>
    </row>
    <row r="105" spans="1:13" ht="14.4" customHeight="1">
      <c r="A105" s="244"/>
      <c r="B105" s="244"/>
      <c r="C105" s="244"/>
      <c r="D105" s="244"/>
      <c r="E105" s="244"/>
      <c r="F105" s="244"/>
      <c r="G105" s="244"/>
      <c r="H105" s="244"/>
      <c r="I105" s="244"/>
    </row>
    <row r="106" spans="1:13" ht="14.4" customHeight="1">
      <c r="A106" s="244"/>
      <c r="B106" s="244"/>
      <c r="C106" s="244"/>
      <c r="D106" s="244"/>
      <c r="E106" s="244"/>
      <c r="F106" s="244"/>
      <c r="G106" s="244"/>
      <c r="H106" s="244"/>
    </row>
    <row r="107" spans="1:13" ht="14.4" customHeight="1">
      <c r="A107" s="244"/>
      <c r="B107" s="244"/>
      <c r="C107" s="244"/>
      <c r="D107" s="244"/>
      <c r="E107" s="244"/>
      <c r="F107" s="244"/>
      <c r="G107" s="244"/>
      <c r="H107" s="244"/>
      <c r="J107" s="243"/>
    </row>
    <row r="108" spans="1:13" ht="14.4" customHeight="1">
      <c r="A108" s="244"/>
      <c r="B108" s="244"/>
      <c r="C108" s="244"/>
      <c r="D108" s="244"/>
      <c r="E108" s="244"/>
      <c r="F108" s="244"/>
      <c r="G108" s="244"/>
      <c r="H108" s="244"/>
      <c r="I108" s="12"/>
      <c r="J108" s="12"/>
      <c r="K108" s="12"/>
      <c r="L108" s="12"/>
      <c r="M108" s="12"/>
    </row>
    <row r="109" spans="1:13" ht="14.4" customHeight="1">
      <c r="A109" s="244"/>
      <c r="B109" s="244"/>
      <c r="C109" s="244"/>
      <c r="D109" s="244"/>
      <c r="E109" s="244"/>
      <c r="F109" s="244"/>
      <c r="G109" s="244"/>
      <c r="H109" s="244"/>
      <c r="I109" s="12"/>
      <c r="J109" s="12"/>
      <c r="K109" s="12"/>
      <c r="L109" s="12"/>
      <c r="M109" s="12"/>
    </row>
    <row r="110" spans="1:13" ht="14.4" customHeight="1">
      <c r="A110" s="244"/>
      <c r="B110" s="244"/>
      <c r="C110" s="244"/>
      <c r="D110" s="244"/>
      <c r="E110" s="244"/>
      <c r="F110" s="244"/>
      <c r="G110" s="244"/>
      <c r="H110" s="244"/>
      <c r="I110" s="12"/>
      <c r="J110" s="12"/>
      <c r="K110" s="309" t="s">
        <v>295</v>
      </c>
      <c r="L110" s="12"/>
      <c r="M110" s="12"/>
    </row>
    <row r="111" spans="1:13" ht="14.4" customHeight="1">
      <c r="A111" s="244"/>
      <c r="B111" s="244"/>
      <c r="C111" s="244"/>
      <c r="D111" s="244"/>
      <c r="E111" s="244"/>
      <c r="F111" s="244"/>
      <c r="G111" s="244"/>
      <c r="H111" s="244"/>
      <c r="I111" s="12"/>
      <c r="J111" s="12"/>
      <c r="K111" s="12"/>
      <c r="L111" s="12"/>
      <c r="M111" s="12"/>
    </row>
    <row r="112" spans="1:13" ht="14.4" customHeight="1">
      <c r="A112" s="244"/>
      <c r="B112" s="244"/>
      <c r="C112" s="244"/>
      <c r="D112" s="244"/>
      <c r="E112" s="244"/>
      <c r="F112" s="244"/>
      <c r="G112" s="244"/>
      <c r="H112" s="244"/>
    </row>
    <row r="113" spans="1:13" ht="14.4" customHeight="1">
      <c r="A113" s="244"/>
      <c r="B113" s="244"/>
      <c r="C113" s="244"/>
      <c r="D113" s="244"/>
      <c r="E113" s="244"/>
      <c r="F113" s="244"/>
      <c r="G113" s="244"/>
      <c r="H113" s="244"/>
    </row>
    <row r="114" spans="1:13" ht="14.4" customHeight="1">
      <c r="A114" s="244"/>
      <c r="B114" s="244"/>
      <c r="C114" s="244"/>
      <c r="D114" s="244"/>
      <c r="E114" s="244"/>
      <c r="F114" s="244"/>
      <c r="G114" s="244"/>
      <c r="H114" s="244"/>
    </row>
    <row r="115" spans="1:13" ht="14.4" customHeight="1">
      <c r="A115" s="244"/>
      <c r="B115" s="244"/>
      <c r="C115" s="244"/>
      <c r="D115" s="244"/>
      <c r="E115" s="244"/>
      <c r="F115" s="244"/>
      <c r="G115" s="244"/>
      <c r="H115" s="244"/>
      <c r="I115" s="244"/>
    </row>
    <row r="116" spans="1:13" ht="14.4" customHeight="1">
      <c r="A116" s="244"/>
      <c r="B116" s="244"/>
      <c r="C116" s="244"/>
      <c r="D116" s="244"/>
      <c r="E116" s="244"/>
      <c r="F116" s="244"/>
      <c r="G116" s="244"/>
      <c r="H116" s="244"/>
      <c r="I116" s="244"/>
    </row>
    <row r="117" spans="1:13" ht="14.4" customHeight="1">
      <c r="A117" s="244"/>
      <c r="B117" s="244"/>
      <c r="C117" s="244"/>
      <c r="D117" s="244"/>
      <c r="E117" s="244"/>
      <c r="F117" s="244"/>
      <c r="G117" s="244"/>
      <c r="H117" s="244"/>
      <c r="I117" s="244"/>
    </row>
    <row r="118" spans="1:13" ht="14.4" customHeight="1">
      <c r="A118" s="244"/>
      <c r="B118" s="244"/>
      <c r="C118" s="244"/>
      <c r="D118" s="244"/>
      <c r="E118" s="244"/>
      <c r="F118" s="244"/>
      <c r="G118" s="244"/>
      <c r="H118" s="244"/>
      <c r="I118" s="244"/>
    </row>
    <row r="119" spans="1:13" ht="14.4" customHeight="1">
      <c r="A119" s="244"/>
      <c r="B119" s="244"/>
      <c r="C119" s="244"/>
      <c r="D119" s="244"/>
      <c r="E119" s="244"/>
      <c r="F119" s="244"/>
      <c r="G119" s="244"/>
      <c r="H119" s="244"/>
      <c r="I119" s="244"/>
    </row>
    <row r="120" spans="1:13" ht="14.4" customHeight="1">
      <c r="A120" s="244"/>
      <c r="B120" s="244"/>
      <c r="C120" s="244"/>
      <c r="D120" s="244"/>
      <c r="E120" s="244"/>
      <c r="F120" s="244"/>
      <c r="G120" s="244"/>
      <c r="H120" s="244"/>
      <c r="I120" s="244"/>
    </row>
    <row r="121" spans="1:13" ht="14.4" customHeight="1">
      <c r="A121" s="244"/>
      <c r="B121" s="244"/>
      <c r="C121" s="244"/>
      <c r="D121" s="244"/>
      <c r="E121" s="244"/>
      <c r="F121" s="244"/>
      <c r="G121" s="244"/>
      <c r="H121" s="244"/>
      <c r="I121" s="244"/>
    </row>
    <row r="122" spans="1:13" ht="14.4" customHeight="1">
      <c r="A122" s="244"/>
      <c r="B122" s="244"/>
      <c r="C122" s="244"/>
      <c r="D122" s="244"/>
      <c r="E122" s="244"/>
      <c r="F122" s="244"/>
      <c r="G122" s="244"/>
      <c r="H122" s="244"/>
      <c r="I122" s="244"/>
    </row>
    <row r="123" spans="1:13" ht="14.4" customHeight="1">
      <c r="A123" s="244"/>
      <c r="B123" s="244"/>
      <c r="C123" s="244"/>
      <c r="D123" s="244"/>
      <c r="E123" s="244"/>
      <c r="F123" s="244"/>
      <c r="G123" s="244"/>
      <c r="H123" s="244"/>
      <c r="I123" s="244"/>
    </row>
    <row r="124" spans="1:13" ht="14.4" customHeight="1">
      <c r="A124" s="244"/>
      <c r="B124" s="244"/>
      <c r="C124" s="244"/>
      <c r="D124" s="244"/>
      <c r="E124" s="244"/>
      <c r="F124" s="244"/>
      <c r="G124" s="244"/>
      <c r="H124" s="244"/>
      <c r="J124" s="244"/>
      <c r="K124" s="244"/>
      <c r="L124" s="244"/>
      <c r="M124" s="244"/>
    </row>
    <row r="125" spans="1:13" ht="14.4" customHeight="1">
      <c r="A125" s="246" t="s">
        <v>288</v>
      </c>
      <c r="B125" s="246" t="s">
        <v>263</v>
      </c>
      <c r="C125" s="246" t="s">
        <v>260</v>
      </c>
      <c r="D125" s="246" t="str">
        <f>IF(INPUT!G3,"ACREAGE","SQ FT")</f>
        <v>SQ FT</v>
      </c>
      <c r="E125" s="246" t="str">
        <f>IF(INPUT!G3,"ADJ. $/ACRE","ADJ. $/SQ FT")</f>
        <v>ADJ. $/SQ FT</v>
      </c>
      <c r="F125" s="878" t="s">
        <v>294</v>
      </c>
      <c r="G125" s="878"/>
      <c r="H125" s="878"/>
      <c r="J125" s="244"/>
      <c r="K125" s="244"/>
      <c r="L125" s="244"/>
      <c r="M125" s="244"/>
    </row>
    <row r="126" spans="1:13">
      <c r="A126" s="969">
        <f>'Sales Grid'!F9</f>
        <v>107350010</v>
      </c>
      <c r="B126" s="963">
        <f ca="1">IFERROR((IF(INPUT!G3,'Land Grid'!F14,'Sales Grid'!F15)),"")</f>
        <v>45817</v>
      </c>
      <c r="C126" s="965">
        <f>IF(INPUT!G3,'Land Grid'!F15,'Sales Grid'!F16)</f>
        <v>6400000</v>
      </c>
      <c r="D126" s="967">
        <f>IF(INPUT!G3,'Land Grid'!F17,'Sales Grid'!F19)</f>
        <v>16504</v>
      </c>
      <c r="E126" s="971">
        <f>IF(INPUT!G3,'Land Grid'!F38,'Sales Grid'!F38)</f>
        <v>426.55799999999999</v>
      </c>
      <c r="F126" s="973" t="str">
        <f>CONCATENATE("",UPPER(TEXT('Sales Grid'!F10,"")),", ",UPPER(TEXT('Land Grid'!F12,"")),", CA")</f>
        <v>1220 GRAPHITE DR, CORONA, CA</v>
      </c>
      <c r="G126" s="974"/>
      <c r="H126" s="975"/>
    </row>
    <row r="127" spans="1:13">
      <c r="A127" s="970"/>
      <c r="B127" s="964"/>
      <c r="C127" s="966"/>
      <c r="D127" s="968"/>
      <c r="E127" s="972"/>
      <c r="F127" s="976"/>
      <c r="G127" s="977"/>
      <c r="H127" s="978"/>
      <c r="I127" s="244"/>
    </row>
    <row r="128" spans="1:13" ht="14.4" customHeight="1">
      <c r="A128" s="244"/>
      <c r="B128" s="244"/>
      <c r="C128" s="244"/>
      <c r="D128" s="244"/>
      <c r="E128" s="244"/>
      <c r="F128" s="244"/>
      <c r="G128" s="244"/>
      <c r="H128" s="244"/>
      <c r="I128" s="244"/>
    </row>
    <row r="129" spans="1:9" ht="14.4" customHeight="1">
      <c r="A129" s="244"/>
      <c r="B129" s="244"/>
      <c r="C129" s="244"/>
      <c r="D129" s="244"/>
      <c r="E129" s="244"/>
      <c r="F129" s="244"/>
      <c r="G129" s="244"/>
      <c r="H129" s="244"/>
      <c r="I129" s="244"/>
    </row>
    <row r="130" spans="1:9" ht="14.4" customHeight="1">
      <c r="A130" s="244"/>
      <c r="B130" s="244"/>
      <c r="C130" s="244"/>
      <c r="D130" s="244"/>
      <c r="E130" s="244"/>
      <c r="F130" s="244"/>
      <c r="G130" s="244"/>
      <c r="H130" s="244"/>
      <c r="I130" s="244"/>
    </row>
    <row r="131" spans="1:9" ht="14.4" customHeight="1">
      <c r="A131" s="244"/>
      <c r="B131" s="244"/>
      <c r="C131" s="244"/>
      <c r="D131" s="244"/>
      <c r="E131" s="244"/>
      <c r="F131" s="244"/>
      <c r="G131" s="244"/>
      <c r="H131" s="244"/>
      <c r="I131" s="244"/>
    </row>
    <row r="132" spans="1:9" ht="14.4" customHeight="1">
      <c r="A132" s="244"/>
      <c r="B132" s="244"/>
      <c r="C132" s="244"/>
      <c r="D132" s="244"/>
      <c r="E132" s="244"/>
      <c r="F132" s="244"/>
      <c r="G132" s="244"/>
      <c r="H132" s="244"/>
      <c r="I132" s="244"/>
    </row>
    <row r="133" spans="1:9" ht="14.4" customHeight="1">
      <c r="A133" s="244"/>
      <c r="B133" s="244"/>
      <c r="C133" s="244"/>
      <c r="D133" s="244"/>
      <c r="E133" s="244"/>
      <c r="F133" s="244"/>
      <c r="G133" s="244"/>
      <c r="H133" s="244"/>
      <c r="I133" s="244"/>
    </row>
    <row r="134" spans="1:9" ht="14.4" customHeight="1">
      <c r="A134" s="244"/>
      <c r="B134" s="244"/>
      <c r="C134" s="244"/>
      <c r="D134" s="244"/>
      <c r="E134" s="244"/>
      <c r="F134" s="244"/>
      <c r="G134" s="244"/>
      <c r="H134" s="244"/>
      <c r="I134" s="244"/>
    </row>
    <row r="135" spans="1:9" ht="14.4" customHeight="1">
      <c r="A135" s="244"/>
      <c r="B135" s="244"/>
      <c r="C135" s="244"/>
      <c r="D135" s="244"/>
      <c r="E135" s="244"/>
      <c r="F135" s="244"/>
      <c r="G135" s="244"/>
      <c r="H135" s="244"/>
      <c r="I135" s="244"/>
    </row>
    <row r="136" spans="1:9" ht="14.4" customHeight="1">
      <c r="A136" s="244"/>
      <c r="B136" s="244"/>
      <c r="C136" s="244"/>
      <c r="D136" s="244"/>
      <c r="E136" s="244"/>
      <c r="F136" s="244"/>
      <c r="G136" s="244"/>
      <c r="H136" s="244"/>
      <c r="I136" s="244"/>
    </row>
    <row r="137" spans="1:9" ht="14.4" customHeight="1">
      <c r="A137" s="244"/>
      <c r="B137" s="244"/>
      <c r="C137" s="244"/>
      <c r="D137" s="244"/>
      <c r="E137" s="244"/>
      <c r="F137" s="244"/>
      <c r="G137" s="244"/>
      <c r="H137" s="244"/>
      <c r="I137" s="244"/>
    </row>
    <row r="138" spans="1:9" ht="14.4" customHeight="1">
      <c r="A138" s="244"/>
      <c r="B138" s="244"/>
      <c r="C138" s="244"/>
      <c r="D138" s="244"/>
      <c r="E138" s="244"/>
      <c r="F138" s="244"/>
      <c r="G138" s="244"/>
      <c r="H138" s="244"/>
      <c r="I138" s="244"/>
    </row>
    <row r="139" spans="1:9" ht="14.4" customHeight="1">
      <c r="A139" s="244"/>
      <c r="B139" s="244"/>
      <c r="C139" s="244"/>
      <c r="D139" s="244"/>
      <c r="E139" s="244"/>
      <c r="F139" s="244"/>
      <c r="G139" s="244"/>
      <c r="H139" s="244"/>
      <c r="I139" s="244"/>
    </row>
    <row r="140" spans="1:9" ht="14.4" customHeight="1">
      <c r="A140" s="244"/>
      <c r="B140" s="244"/>
      <c r="C140" s="244"/>
      <c r="D140" s="244"/>
      <c r="E140" s="244"/>
      <c r="F140" s="244"/>
      <c r="G140" s="244"/>
      <c r="H140" s="244"/>
      <c r="I140" s="244"/>
    </row>
    <row r="141" spans="1:9" ht="14.4" customHeight="1">
      <c r="A141" s="244"/>
      <c r="B141" s="244"/>
      <c r="C141" s="244"/>
      <c r="D141" s="244"/>
      <c r="E141" s="244"/>
      <c r="F141" s="244"/>
      <c r="G141" s="244"/>
      <c r="H141" s="244"/>
      <c r="I141" s="244"/>
    </row>
    <row r="142" spans="1:9" ht="14.4" customHeight="1">
      <c r="A142" s="244"/>
      <c r="B142" s="244"/>
      <c r="C142" s="244"/>
      <c r="D142" s="244"/>
      <c r="E142" s="244"/>
      <c r="F142" s="244"/>
      <c r="G142" s="244"/>
      <c r="H142" s="244"/>
      <c r="I142" s="244"/>
    </row>
    <row r="143" spans="1:9" ht="14.4" customHeight="1">
      <c r="A143" s="244"/>
      <c r="B143" s="244"/>
      <c r="C143" s="244"/>
      <c r="D143" s="244"/>
      <c r="E143" s="244"/>
      <c r="F143" s="244"/>
      <c r="G143" s="244"/>
      <c r="H143" s="244"/>
      <c r="I143" s="244"/>
    </row>
    <row r="144" spans="1:9" ht="14.4" customHeight="1">
      <c r="A144" s="244"/>
      <c r="B144" s="244"/>
      <c r="C144" s="244"/>
      <c r="D144" s="244"/>
      <c r="E144" s="244"/>
      <c r="F144" s="244"/>
      <c r="G144" s="244"/>
      <c r="H144" s="244"/>
      <c r="I144" s="244"/>
    </row>
    <row r="145" spans="1:13" ht="14.4" customHeight="1">
      <c r="A145" s="244"/>
      <c r="B145" s="244"/>
      <c r="C145" s="244"/>
      <c r="D145" s="244"/>
      <c r="E145" s="244"/>
      <c r="F145" s="244"/>
      <c r="G145" s="244"/>
      <c r="H145" s="244"/>
      <c r="I145" s="244"/>
    </row>
    <row r="146" spans="1:13" ht="14.4" customHeight="1">
      <c r="A146" s="244"/>
      <c r="B146" s="244"/>
      <c r="C146" s="244"/>
      <c r="D146" s="244"/>
      <c r="E146" s="244"/>
      <c r="F146" s="244"/>
      <c r="G146" s="244"/>
      <c r="H146" s="244"/>
      <c r="I146" s="244"/>
    </row>
    <row r="147" spans="1:13" ht="14.4" customHeight="1">
      <c r="A147" s="244"/>
      <c r="B147" s="244"/>
      <c r="C147" s="244"/>
      <c r="D147" s="244"/>
      <c r="E147" s="244"/>
      <c r="F147" s="244"/>
      <c r="G147" s="244"/>
      <c r="H147" s="244"/>
      <c r="I147" s="244"/>
    </row>
    <row r="148" spans="1:13" ht="14.4" customHeight="1">
      <c r="A148" s="244"/>
      <c r="B148" s="244"/>
      <c r="C148" s="244"/>
      <c r="D148" s="244"/>
      <c r="E148" s="244"/>
      <c r="F148" s="244"/>
      <c r="G148" s="244"/>
      <c r="H148" s="244"/>
      <c r="I148" s="244"/>
    </row>
    <row r="149" spans="1:13" ht="14.4" customHeight="1">
      <c r="A149" s="244"/>
      <c r="B149" s="244"/>
      <c r="C149" s="244"/>
      <c r="D149" s="244"/>
      <c r="E149" s="244"/>
      <c r="F149" s="244"/>
      <c r="G149" s="244"/>
      <c r="H149" s="244"/>
      <c r="I149" s="244"/>
    </row>
    <row r="150" spans="1:13" ht="14.4" customHeight="1">
      <c r="A150" s="244"/>
      <c r="B150" s="244"/>
      <c r="C150" s="244"/>
      <c r="D150" s="244"/>
      <c r="E150" s="244"/>
      <c r="F150" s="244"/>
      <c r="G150" s="244"/>
      <c r="H150" s="244"/>
      <c r="I150" s="244"/>
    </row>
    <row r="151" spans="1:13" ht="14.4" customHeight="1">
      <c r="A151" s="870" t="s">
        <v>86</v>
      </c>
      <c r="B151" s="870"/>
      <c r="C151" s="870"/>
      <c r="D151" s="870"/>
      <c r="E151" s="870"/>
      <c r="F151" s="870"/>
      <c r="G151" s="870"/>
      <c r="H151" s="870"/>
    </row>
    <row r="152" spans="1:13" ht="14.4" customHeight="1">
      <c r="A152" s="244"/>
      <c r="B152" s="244"/>
      <c r="C152" s="244"/>
      <c r="D152" s="244"/>
      <c r="E152" s="244"/>
      <c r="F152" s="244"/>
      <c r="G152" s="244"/>
      <c r="H152" s="244"/>
      <c r="I152" s="244"/>
    </row>
    <row r="153" spans="1:13" ht="14.4" customHeight="1">
      <c r="A153" s="244"/>
      <c r="B153" s="244"/>
      <c r="C153" s="244"/>
      <c r="D153" s="244"/>
      <c r="E153" s="244"/>
      <c r="F153" s="244"/>
      <c r="G153" s="244"/>
      <c r="H153" s="244"/>
      <c r="I153" s="244"/>
    </row>
    <row r="154" spans="1:13" ht="14.4" customHeight="1">
      <c r="A154" s="244"/>
      <c r="B154" s="244"/>
      <c r="C154" s="244"/>
      <c r="D154" s="244"/>
      <c r="E154" s="244"/>
      <c r="F154" s="244"/>
      <c r="G154" s="244"/>
      <c r="H154" s="244"/>
      <c r="I154" s="244"/>
      <c r="J154" s="243"/>
    </row>
    <row r="155" spans="1:13" ht="14.4" customHeight="1">
      <c r="A155" s="244"/>
      <c r="B155" s="244"/>
      <c r="C155" s="244"/>
      <c r="D155" s="244"/>
      <c r="E155" s="244"/>
      <c r="F155" s="244"/>
      <c r="G155" s="244"/>
      <c r="H155" s="244"/>
      <c r="I155" s="244"/>
    </row>
    <row r="156" spans="1:13" ht="14.4" customHeight="1">
      <c r="A156" s="244"/>
      <c r="B156" s="244"/>
      <c r="C156" s="244"/>
      <c r="D156" s="244"/>
      <c r="E156" s="244"/>
      <c r="F156" s="244"/>
      <c r="G156" s="244"/>
      <c r="H156" s="244"/>
    </row>
    <row r="157" spans="1:13" ht="14.4" customHeight="1">
      <c r="A157" s="244"/>
      <c r="B157" s="244"/>
      <c r="C157" s="244"/>
      <c r="D157" s="244"/>
      <c r="E157" s="244"/>
      <c r="F157" s="244"/>
      <c r="G157" s="244"/>
      <c r="H157" s="244"/>
      <c r="J157" s="243"/>
    </row>
    <row r="158" spans="1:13" ht="14.4" customHeight="1">
      <c r="A158" s="244"/>
      <c r="B158" s="244"/>
      <c r="C158" s="244"/>
      <c r="D158" s="244"/>
      <c r="E158" s="244"/>
      <c r="F158" s="244"/>
      <c r="G158" s="244"/>
      <c r="H158" s="244"/>
      <c r="I158" s="12"/>
      <c r="J158" s="12"/>
      <c r="K158" s="12"/>
      <c r="L158" s="12"/>
      <c r="M158" s="12"/>
    </row>
    <row r="159" spans="1:13" ht="14.4" customHeight="1">
      <c r="A159" s="244"/>
      <c r="B159" s="244"/>
      <c r="C159" s="244"/>
      <c r="D159" s="244"/>
      <c r="E159" s="244"/>
      <c r="F159" s="244"/>
      <c r="G159" s="244"/>
      <c r="H159" s="244"/>
      <c r="I159" s="12"/>
      <c r="J159" s="12"/>
      <c r="K159" s="12"/>
      <c r="L159" s="12"/>
      <c r="M159" s="12"/>
    </row>
    <row r="160" spans="1:13" ht="14.4" customHeight="1">
      <c r="A160" s="244"/>
      <c r="B160" s="244"/>
      <c r="C160" s="244"/>
      <c r="D160" s="244"/>
      <c r="E160" s="244"/>
      <c r="F160" s="244"/>
      <c r="G160" s="244"/>
      <c r="H160" s="244"/>
      <c r="I160" s="12"/>
      <c r="J160" s="12"/>
      <c r="K160" s="309" t="s">
        <v>295</v>
      </c>
      <c r="L160" s="12"/>
      <c r="M160" s="12"/>
    </row>
    <row r="161" spans="1:13" ht="14.4" customHeight="1">
      <c r="A161" s="244"/>
      <c r="B161" s="244"/>
      <c r="C161" s="244"/>
      <c r="D161" s="244"/>
      <c r="E161" s="244"/>
      <c r="F161" s="244"/>
      <c r="G161" s="244"/>
      <c r="H161" s="244"/>
      <c r="I161" s="12"/>
      <c r="J161" s="12"/>
      <c r="K161" s="12"/>
      <c r="L161" s="12"/>
      <c r="M161" s="12"/>
    </row>
    <row r="162" spans="1:13" ht="14.4" customHeight="1">
      <c r="A162" s="244"/>
      <c r="B162" s="244"/>
      <c r="C162" s="244"/>
      <c r="D162" s="244"/>
      <c r="E162" s="244"/>
      <c r="F162" s="244"/>
      <c r="G162" s="244"/>
      <c r="H162" s="244"/>
    </row>
    <row r="163" spans="1:13" ht="14.4" customHeight="1">
      <c r="A163" s="244"/>
      <c r="B163" s="244"/>
      <c r="C163" s="244"/>
      <c r="D163" s="244"/>
      <c r="E163" s="244"/>
      <c r="F163" s="244"/>
      <c r="G163" s="244"/>
      <c r="H163" s="244"/>
    </row>
    <row r="164" spans="1:13" ht="14.4" customHeight="1">
      <c r="A164" s="244"/>
      <c r="B164" s="244"/>
      <c r="C164" s="244"/>
      <c r="D164" s="244"/>
      <c r="E164" s="244"/>
      <c r="F164" s="244"/>
      <c r="G164" s="244"/>
      <c r="H164" s="244"/>
    </row>
    <row r="165" spans="1:13" ht="14.4" customHeight="1">
      <c r="A165" s="244"/>
      <c r="B165" s="244"/>
      <c r="C165" s="244"/>
      <c r="D165" s="244"/>
      <c r="E165" s="244"/>
      <c r="F165" s="244"/>
      <c r="G165" s="244"/>
      <c r="H165" s="244"/>
      <c r="I165" s="244"/>
    </row>
    <row r="166" spans="1:13" ht="14.4" customHeight="1">
      <c r="A166" s="244"/>
      <c r="B166" s="244"/>
      <c r="C166" s="244"/>
      <c r="D166" s="244"/>
      <c r="E166" s="244"/>
      <c r="F166" s="244"/>
      <c r="G166" s="244"/>
      <c r="H166" s="244"/>
      <c r="I166" s="244"/>
    </row>
    <row r="167" spans="1:13" ht="14.4" customHeight="1">
      <c r="A167" s="244"/>
      <c r="B167" s="244"/>
      <c r="C167" s="244"/>
      <c r="D167" s="244"/>
      <c r="E167" s="244"/>
      <c r="F167" s="244"/>
      <c r="G167" s="244"/>
      <c r="H167" s="244"/>
      <c r="I167" s="244"/>
    </row>
    <row r="168" spans="1:13" ht="14.4" customHeight="1">
      <c r="A168" s="244"/>
      <c r="B168" s="244"/>
      <c r="C168" s="244"/>
      <c r="D168" s="244"/>
      <c r="E168" s="244"/>
      <c r="F168" s="244"/>
      <c r="G168" s="244"/>
      <c r="H168" s="244"/>
      <c r="I168" s="244"/>
    </row>
    <row r="169" spans="1:13" ht="14.4" customHeight="1">
      <c r="A169" s="244"/>
      <c r="B169" s="244"/>
      <c r="C169" s="244"/>
      <c r="D169" s="244"/>
      <c r="E169" s="244"/>
      <c r="F169" s="244"/>
      <c r="G169" s="244"/>
      <c r="H169" s="244"/>
      <c r="I169" s="244"/>
    </row>
    <row r="170" spans="1:13" ht="14.4" customHeight="1">
      <c r="A170" s="244"/>
      <c r="B170" s="244"/>
      <c r="C170" s="244"/>
      <c r="D170" s="244"/>
      <c r="E170" s="244"/>
      <c r="F170" s="244"/>
      <c r="G170" s="244"/>
      <c r="H170" s="244"/>
      <c r="I170" s="244"/>
    </row>
    <row r="171" spans="1:13" ht="14.4" customHeight="1">
      <c r="A171" s="244"/>
      <c r="B171" s="244"/>
      <c r="C171" s="244"/>
      <c r="D171" s="244"/>
      <c r="E171" s="244"/>
      <c r="F171" s="244"/>
      <c r="G171" s="244"/>
      <c r="H171" s="244"/>
      <c r="I171" s="244"/>
    </row>
    <row r="172" spans="1:13" ht="14.4" customHeight="1">
      <c r="A172" s="244"/>
      <c r="B172" s="244"/>
      <c r="C172" s="244"/>
      <c r="D172" s="244"/>
      <c r="E172" s="244"/>
      <c r="F172" s="244"/>
      <c r="G172" s="244"/>
      <c r="H172" s="244"/>
      <c r="I172" s="244"/>
    </row>
    <row r="173" spans="1:13" ht="14.4" customHeight="1">
      <c r="A173" s="244"/>
      <c r="B173" s="244"/>
      <c r="C173" s="244"/>
      <c r="D173" s="244"/>
      <c r="E173" s="244"/>
      <c r="F173" s="244"/>
      <c r="G173" s="244"/>
      <c r="H173" s="244"/>
      <c r="I173" s="244"/>
    </row>
    <row r="174" spans="1:13" ht="14.4" customHeight="1">
      <c r="A174" s="244"/>
      <c r="B174" s="244"/>
      <c r="C174" s="244"/>
      <c r="D174" s="244"/>
      <c r="E174" s="244"/>
      <c r="F174" s="244"/>
      <c r="G174" s="244"/>
      <c r="H174" s="244"/>
      <c r="J174" s="244"/>
      <c r="K174" s="244"/>
      <c r="L174" s="244"/>
      <c r="M174" s="244"/>
    </row>
    <row r="175" spans="1:13" ht="14.4" customHeight="1">
      <c r="A175" s="246" t="s">
        <v>288</v>
      </c>
      <c r="B175" s="246" t="s">
        <v>263</v>
      </c>
      <c r="C175" s="246" t="s">
        <v>260</v>
      </c>
      <c r="D175" s="246" t="str">
        <f>IF(INPUT!G3,"ACREAGE","SQ FT")</f>
        <v>SQ FT</v>
      </c>
      <c r="E175" s="246" t="str">
        <f>IF(INPUT!G3,"ADJ. $/ACRE","ADJ. $/SQ FT")</f>
        <v>ADJ. $/SQ FT</v>
      </c>
      <c r="F175" s="878" t="s">
        <v>294</v>
      </c>
      <c r="G175" s="878"/>
      <c r="H175" s="878"/>
      <c r="J175" s="244"/>
      <c r="K175" s="244"/>
      <c r="L175" s="244"/>
      <c r="M175" s="244"/>
    </row>
    <row r="176" spans="1:13">
      <c r="A176" s="969">
        <f>'Sales Grid'!G9</f>
        <v>211060012</v>
      </c>
      <c r="B176" s="963">
        <f>IF(INPUT!G3,'Land Grid'!G14,'Sales Grid'!G15)</f>
        <v>46027</v>
      </c>
      <c r="C176" s="965">
        <f>IF(INPUT!G3,'Land Grid'!G15,'Sales Grid'!G16)</f>
        <v>1570000</v>
      </c>
      <c r="D176" s="967">
        <f>IF(INPUT!G3,'Land Grid'!G17,'Sales Grid'!G19)</f>
        <v>5840</v>
      </c>
      <c r="E176" s="971">
        <f>IF(INPUT!G3,'Land Grid'!G38,'Sales Grid'!G38)</f>
        <v>295.72399999999999</v>
      </c>
      <c r="F176" s="973" t="str">
        <f>CONCATENATE("",UPPER(TEXT('Sales Grid'!G10,"")),", ",UPPER(TEXT('Land Grid'!G12,"")),", CA")</f>
        <v>3403 DURAHART ST, RIVERSIDE, CA</v>
      </c>
      <c r="G176" s="974"/>
      <c r="H176" s="975"/>
    </row>
    <row r="177" spans="1:9">
      <c r="A177" s="970"/>
      <c r="B177" s="964"/>
      <c r="C177" s="966"/>
      <c r="D177" s="968"/>
      <c r="E177" s="972"/>
      <c r="F177" s="976"/>
      <c r="G177" s="977"/>
      <c r="H177" s="978"/>
      <c r="I177" s="244"/>
    </row>
    <row r="178" spans="1:9" ht="14.4" customHeight="1">
      <c r="A178" s="244"/>
      <c r="B178" s="244"/>
      <c r="C178" s="244"/>
      <c r="D178" s="244"/>
      <c r="E178" s="244"/>
      <c r="F178" s="244"/>
      <c r="G178" s="244"/>
      <c r="H178" s="244"/>
      <c r="I178" s="244"/>
    </row>
    <row r="179" spans="1:9" ht="14.4" customHeight="1">
      <c r="A179" s="244"/>
      <c r="B179" s="244"/>
      <c r="C179" s="244"/>
      <c r="D179" s="244"/>
      <c r="E179" s="244"/>
      <c r="F179" s="244"/>
      <c r="G179" s="244"/>
      <c r="H179" s="244"/>
      <c r="I179" s="244"/>
    </row>
    <row r="180" spans="1:9" ht="14.4" customHeight="1">
      <c r="A180" s="244"/>
      <c r="B180" s="244"/>
      <c r="C180" s="244"/>
      <c r="D180" s="244"/>
      <c r="E180" s="244"/>
      <c r="F180" s="244"/>
      <c r="G180" s="244"/>
      <c r="H180" s="244"/>
      <c r="I180" s="244"/>
    </row>
    <row r="181" spans="1:9" ht="14.4" customHeight="1">
      <c r="A181" s="244"/>
      <c r="B181" s="244"/>
      <c r="C181" s="244"/>
      <c r="D181" s="244"/>
      <c r="E181" s="244"/>
      <c r="F181" s="244"/>
      <c r="G181" s="244"/>
      <c r="H181" s="244"/>
      <c r="I181" s="244"/>
    </row>
    <row r="182" spans="1:9" ht="14.4" customHeight="1">
      <c r="A182" s="244"/>
      <c r="B182" s="244"/>
      <c r="C182" s="244"/>
      <c r="D182" s="244"/>
      <c r="E182" s="244"/>
      <c r="F182" s="244"/>
      <c r="G182" s="244"/>
      <c r="H182" s="244"/>
      <c r="I182" s="244"/>
    </row>
    <row r="183" spans="1:9" ht="14.4" customHeight="1">
      <c r="A183" s="244"/>
      <c r="B183" s="244"/>
      <c r="C183" s="244"/>
      <c r="D183" s="244"/>
      <c r="E183" s="244"/>
      <c r="F183" s="244"/>
      <c r="G183" s="244"/>
      <c r="H183" s="244"/>
      <c r="I183" s="244"/>
    </row>
    <row r="184" spans="1:9" ht="14.4" customHeight="1">
      <c r="A184" s="244"/>
      <c r="B184" s="244"/>
      <c r="C184" s="244"/>
      <c r="D184" s="244"/>
      <c r="E184" s="244"/>
      <c r="F184" s="244"/>
      <c r="G184" s="244"/>
      <c r="H184" s="244"/>
      <c r="I184" s="244"/>
    </row>
    <row r="185" spans="1:9" ht="14.4" customHeight="1">
      <c r="A185" s="244"/>
      <c r="B185" s="244"/>
      <c r="C185" s="244"/>
      <c r="D185" s="244"/>
      <c r="E185" s="244"/>
      <c r="F185" s="244"/>
      <c r="G185" s="244"/>
      <c r="H185" s="244"/>
      <c r="I185" s="244"/>
    </row>
    <row r="186" spans="1:9" ht="14.4" customHeight="1">
      <c r="A186" s="244"/>
      <c r="B186" s="244"/>
      <c r="C186" s="244"/>
      <c r="D186" s="244"/>
      <c r="E186" s="244"/>
      <c r="F186" s="244"/>
      <c r="G186" s="244"/>
      <c r="H186" s="244"/>
      <c r="I186" s="244"/>
    </row>
    <row r="187" spans="1:9" ht="14.4" customHeight="1">
      <c r="A187" s="244"/>
      <c r="B187" s="244"/>
      <c r="C187" s="244"/>
      <c r="D187" s="244"/>
      <c r="E187" s="244"/>
      <c r="F187" s="244"/>
      <c r="G187" s="244"/>
      <c r="H187" s="244"/>
      <c r="I187" s="244"/>
    </row>
    <row r="188" spans="1:9" ht="14.4" customHeight="1">
      <c r="A188" s="244"/>
      <c r="B188" s="244"/>
      <c r="C188" s="244"/>
      <c r="D188" s="244"/>
      <c r="E188" s="244"/>
      <c r="F188" s="244"/>
      <c r="G188" s="244"/>
      <c r="H188" s="244"/>
      <c r="I188" s="244"/>
    </row>
    <row r="189" spans="1:9" ht="14.4" customHeight="1">
      <c r="A189" s="244"/>
      <c r="B189" s="244"/>
      <c r="C189" s="244"/>
      <c r="D189" s="244"/>
      <c r="E189" s="244"/>
      <c r="F189" s="244"/>
      <c r="G189" s="244"/>
      <c r="H189" s="244"/>
      <c r="I189" s="244"/>
    </row>
    <row r="190" spans="1:9" ht="14.4" customHeight="1">
      <c r="A190" s="244"/>
      <c r="B190" s="244"/>
      <c r="C190" s="244"/>
      <c r="D190" s="244"/>
      <c r="E190" s="244"/>
      <c r="F190" s="244"/>
      <c r="G190" s="244"/>
      <c r="H190" s="244"/>
      <c r="I190" s="244"/>
    </row>
    <row r="191" spans="1:9" ht="14.4" customHeight="1">
      <c r="A191" s="244"/>
      <c r="B191" s="244"/>
      <c r="C191" s="244"/>
      <c r="D191" s="244"/>
      <c r="E191" s="244"/>
      <c r="F191" s="244"/>
      <c r="G191" s="244"/>
      <c r="H191" s="244"/>
      <c r="I191" s="244"/>
    </row>
    <row r="192" spans="1:9" ht="14.4" customHeight="1">
      <c r="A192" s="244"/>
      <c r="B192" s="244"/>
      <c r="C192" s="244"/>
      <c r="D192" s="244"/>
      <c r="E192" s="244"/>
      <c r="F192" s="244"/>
      <c r="G192" s="244"/>
      <c r="H192" s="244"/>
      <c r="I192" s="244"/>
    </row>
    <row r="193" spans="1:9" ht="14.4" customHeight="1">
      <c r="A193" s="244"/>
      <c r="B193" s="244"/>
      <c r="C193" s="244"/>
      <c r="D193" s="244"/>
      <c r="E193" s="244"/>
      <c r="F193" s="244"/>
      <c r="G193" s="244"/>
      <c r="H193" s="244"/>
      <c r="I193" s="244"/>
    </row>
    <row r="194" spans="1:9" ht="14.4" customHeight="1">
      <c r="A194" s="244"/>
      <c r="B194" s="244"/>
      <c r="C194" s="244"/>
      <c r="D194" s="244"/>
      <c r="E194" s="244"/>
      <c r="F194" s="244"/>
      <c r="G194" s="244"/>
      <c r="H194" s="244"/>
      <c r="I194" s="244"/>
    </row>
    <row r="195" spans="1:9" ht="14.4" customHeight="1">
      <c r="A195" s="244"/>
      <c r="B195" s="244"/>
      <c r="C195" s="244"/>
      <c r="D195" s="244"/>
      <c r="E195" s="244"/>
      <c r="F195" s="244"/>
      <c r="G195" s="244"/>
      <c r="H195" s="244"/>
      <c r="I195" s="244"/>
    </row>
    <row r="196" spans="1:9" ht="14.4" customHeight="1">
      <c r="A196" s="244"/>
      <c r="B196" s="244"/>
      <c r="C196" s="244"/>
      <c r="D196" s="244"/>
      <c r="E196" s="244"/>
      <c r="F196" s="244"/>
      <c r="G196" s="244"/>
      <c r="H196" s="244"/>
      <c r="I196" s="244"/>
    </row>
    <row r="197" spans="1:9" ht="14.4" customHeight="1">
      <c r="A197" s="244"/>
      <c r="B197" s="244"/>
      <c r="C197" s="244"/>
      <c r="D197" s="244"/>
      <c r="E197" s="244"/>
      <c r="F197" s="244"/>
      <c r="G197" s="244"/>
      <c r="H197" s="244"/>
      <c r="I197" s="244"/>
    </row>
    <row r="198" spans="1:9" ht="14.4" customHeight="1">
      <c r="A198" s="244"/>
      <c r="B198" s="244"/>
      <c r="C198" s="244"/>
      <c r="D198" s="244"/>
      <c r="E198" s="244"/>
      <c r="F198" s="244"/>
      <c r="G198" s="244"/>
      <c r="H198" s="244"/>
      <c r="I198" s="244"/>
    </row>
    <row r="199" spans="1:9" ht="14.4" customHeight="1">
      <c r="A199" s="244"/>
      <c r="B199" s="244"/>
      <c r="C199" s="244"/>
      <c r="D199" s="244"/>
      <c r="E199" s="244"/>
      <c r="F199" s="244"/>
      <c r="G199" s="244"/>
      <c r="H199" s="244"/>
      <c r="I199" s="244"/>
    </row>
    <row r="200" spans="1:9" ht="14.4" customHeight="1">
      <c r="A200" s="244"/>
      <c r="B200" s="244"/>
      <c r="C200" s="244"/>
      <c r="D200" s="244"/>
      <c r="E200" s="244"/>
      <c r="F200" s="244"/>
      <c r="G200" s="244"/>
      <c r="H200" s="244"/>
      <c r="I200" s="244"/>
    </row>
    <row r="201" spans="1:9" ht="14.4" customHeight="1">
      <c r="A201" s="244"/>
      <c r="B201" s="244"/>
      <c r="C201" s="244"/>
      <c r="D201" s="244"/>
      <c r="E201" s="244"/>
      <c r="F201" s="244"/>
      <c r="G201" s="244"/>
      <c r="H201" s="244"/>
    </row>
    <row r="206" spans="1:9" ht="14.4" customHeight="1">
      <c r="A206" s="241" t="str">
        <f>UPPER('Sales Grid'!F7)</f>
        <v/>
      </c>
    </row>
    <row r="242" spans="1:1" ht="14.4" customHeight="1">
      <c r="A242" s="241" t="str">
        <f>UPPER('Sales Grid'!G7)</f>
        <v/>
      </c>
    </row>
  </sheetData>
  <sheetProtection formatColumns="0" formatRows="0"/>
  <mergeCells count="32">
    <mergeCell ref="A151:H151"/>
    <mergeCell ref="B176:B177"/>
    <mergeCell ref="C176:C177"/>
    <mergeCell ref="D176:D177"/>
    <mergeCell ref="F176:H177"/>
    <mergeCell ref="F175:H175"/>
    <mergeCell ref="E176:E177"/>
    <mergeCell ref="A176:A177"/>
    <mergeCell ref="A101:H101"/>
    <mergeCell ref="B126:B127"/>
    <mergeCell ref="C126:C127"/>
    <mergeCell ref="D126:D127"/>
    <mergeCell ref="F125:H125"/>
    <mergeCell ref="F126:H127"/>
    <mergeCell ref="E126:E127"/>
    <mergeCell ref="A126:A127"/>
    <mergeCell ref="A51:H51"/>
    <mergeCell ref="B76:B77"/>
    <mergeCell ref="C76:C77"/>
    <mergeCell ref="D76:D77"/>
    <mergeCell ref="A76:A77"/>
    <mergeCell ref="E76:E77"/>
    <mergeCell ref="F75:H75"/>
    <mergeCell ref="F76:H77"/>
    <mergeCell ref="A1:H1"/>
    <mergeCell ref="B26:B27"/>
    <mergeCell ref="C26:C27"/>
    <mergeCell ref="D26:D27"/>
    <mergeCell ref="A26:A27"/>
    <mergeCell ref="F26:H27"/>
    <mergeCell ref="F25:H25"/>
    <mergeCell ref="E26:E27"/>
  </mergeCells>
  <printOptions horizontalCentered="1" verticalCentered="1"/>
  <pageMargins left="0.25" right="0.25" top="0.5" bottom="0.5" header="0.3" footer="0.3"/>
  <pageSetup scale="98" orientation="portrait" r:id="rId1"/>
  <headerFooter scaleWithDoc="0"/>
  <rowBreaks count="3" manualBreakCount="3">
    <brk id="50" max="7" man="1"/>
    <brk id="100" max="7" man="1"/>
    <brk id="150" max="7" man="1"/>
  </rowBreaks>
  <drawing r:id="rId2"/>
  <legacyDrawing r:id="rId3"/>
  <mc:AlternateContent xmlns:mc="http://schemas.openxmlformats.org/markup-compatibility/2006">
    <mc:Choice Requires="x14">
      <controls>
        <mc:AlternateContent xmlns:mc="http://schemas.openxmlformats.org/markup-compatibility/2006">
          <mc:Choice Requires="x14">
            <control shapeId="152613" r:id="rId4" name="Button 37">
              <controlPr defaultSize="0" print="0" autoFill="0" autoPict="0" macro="[0]!InsertSatellite_Slot5">
                <anchor moveWithCells="1" sizeWithCells="1">
                  <from>
                    <xdr:col>8</xdr:col>
                    <xdr:colOff>609600</xdr:colOff>
                    <xdr:row>7</xdr:row>
                    <xdr:rowOff>175260</xdr:rowOff>
                  </from>
                  <to>
                    <xdr:col>10</xdr:col>
                    <xdr:colOff>274320</xdr:colOff>
                    <xdr:row>10</xdr:row>
                    <xdr:rowOff>175260</xdr:rowOff>
                  </to>
                </anchor>
              </controlPr>
            </control>
          </mc:Choice>
        </mc:AlternateContent>
        <mc:AlternateContent xmlns:mc="http://schemas.openxmlformats.org/markup-compatibility/2006">
          <mc:Choice Requires="x14">
            <control shapeId="152614" r:id="rId5" name="Button 38">
              <controlPr defaultSize="0" print="0" autoFill="0" autoPict="0" macro="[0]!PasteImage_Slot5">
                <anchor moveWithCells="1" sizeWithCells="1">
                  <from>
                    <xdr:col>11</xdr:col>
                    <xdr:colOff>342900</xdr:colOff>
                    <xdr:row>8</xdr:row>
                    <xdr:rowOff>0</xdr:rowOff>
                  </from>
                  <to>
                    <xdr:col>13</xdr:col>
                    <xdr:colOff>30480</xdr:colOff>
                    <xdr:row>10</xdr:row>
                    <xdr:rowOff>182880</xdr:rowOff>
                  </to>
                </anchor>
              </controlPr>
            </control>
          </mc:Choice>
        </mc:AlternateContent>
        <mc:AlternateContent xmlns:mc="http://schemas.openxmlformats.org/markup-compatibility/2006">
          <mc:Choice Requires="x14">
            <control shapeId="152617" r:id="rId6" name="Button 41">
              <controlPr defaultSize="0" print="0" autoFill="0" autoPict="0" macro="[0]!land_comp_map">
                <anchor moveWithCells="1" sizeWithCells="1">
                  <from>
                    <xdr:col>8</xdr:col>
                    <xdr:colOff>601980</xdr:colOff>
                    <xdr:row>11</xdr:row>
                    <xdr:rowOff>7620</xdr:rowOff>
                  </from>
                  <to>
                    <xdr:col>10</xdr:col>
                    <xdr:colOff>274320</xdr:colOff>
                    <xdr:row>14</xdr:row>
                    <xdr:rowOff>7620</xdr:rowOff>
                  </to>
                </anchor>
              </controlPr>
            </control>
          </mc:Choice>
        </mc:AlternateContent>
        <mc:AlternateContent xmlns:mc="http://schemas.openxmlformats.org/markup-compatibility/2006">
          <mc:Choice Requires="x14">
            <control shapeId="152618" r:id="rId7" name="Button 42">
              <controlPr defaultSize="0" print="0" autoFill="0" autoPict="0" macro="[0]!landsub_googappeal">
                <anchor moveWithCells="1" sizeWithCells="1">
                  <from>
                    <xdr:col>8</xdr:col>
                    <xdr:colOff>609600</xdr:colOff>
                    <xdr:row>4</xdr:row>
                    <xdr:rowOff>175260</xdr:rowOff>
                  </from>
                  <to>
                    <xdr:col>10</xdr:col>
                    <xdr:colOff>274320</xdr:colOff>
                    <xdr:row>7</xdr:row>
                    <xdr:rowOff>175260</xdr:rowOff>
                  </to>
                </anchor>
              </controlPr>
            </control>
          </mc:Choice>
        </mc:AlternateContent>
        <mc:AlternateContent xmlns:mc="http://schemas.openxmlformats.org/markup-compatibility/2006">
          <mc:Choice Requires="x14">
            <control shapeId="152638" r:id="rId8" name="Button 62">
              <controlPr defaultSize="0" print="0" autoFill="0" autoPict="0" macro="[0]!InsertSatellite_Slot7">
                <anchor moveWithCells="1" sizeWithCells="1">
                  <from>
                    <xdr:col>8</xdr:col>
                    <xdr:colOff>609600</xdr:colOff>
                    <xdr:row>57</xdr:row>
                    <xdr:rowOff>175260</xdr:rowOff>
                  </from>
                  <to>
                    <xdr:col>10</xdr:col>
                    <xdr:colOff>274320</xdr:colOff>
                    <xdr:row>60</xdr:row>
                    <xdr:rowOff>175260</xdr:rowOff>
                  </to>
                </anchor>
              </controlPr>
            </control>
          </mc:Choice>
        </mc:AlternateContent>
        <mc:AlternateContent xmlns:mc="http://schemas.openxmlformats.org/markup-compatibility/2006">
          <mc:Choice Requires="x14">
            <control shapeId="152639" r:id="rId9" name="Button 63">
              <controlPr defaultSize="0" print="0" autoFill="0" autoPict="0" macro="[0]!PasteImage_Slot7">
                <anchor moveWithCells="1" sizeWithCells="1">
                  <from>
                    <xdr:col>11</xdr:col>
                    <xdr:colOff>342900</xdr:colOff>
                    <xdr:row>58</xdr:row>
                    <xdr:rowOff>0</xdr:rowOff>
                  </from>
                  <to>
                    <xdr:col>13</xdr:col>
                    <xdr:colOff>30480</xdr:colOff>
                    <xdr:row>60</xdr:row>
                    <xdr:rowOff>182880</xdr:rowOff>
                  </to>
                </anchor>
              </controlPr>
            </control>
          </mc:Choice>
        </mc:AlternateContent>
        <mc:AlternateContent xmlns:mc="http://schemas.openxmlformats.org/markup-compatibility/2006">
          <mc:Choice Requires="x14">
            <control shapeId="152640" r:id="rId10" name="Button 64">
              <controlPr defaultSize="0" print="0" autoFill="0" autoPict="0" macro="[0]!land_sub_map">
                <anchor moveWithCells="1" sizeWithCells="1">
                  <from>
                    <xdr:col>8</xdr:col>
                    <xdr:colOff>601980</xdr:colOff>
                    <xdr:row>61</xdr:row>
                    <xdr:rowOff>7620</xdr:rowOff>
                  </from>
                  <to>
                    <xdr:col>10</xdr:col>
                    <xdr:colOff>274320</xdr:colOff>
                    <xdr:row>64</xdr:row>
                    <xdr:rowOff>7620</xdr:rowOff>
                  </to>
                </anchor>
              </controlPr>
            </control>
          </mc:Choice>
        </mc:AlternateContent>
        <mc:AlternateContent xmlns:mc="http://schemas.openxmlformats.org/markup-compatibility/2006">
          <mc:Choice Requires="x14">
            <control shapeId="152641" r:id="rId11" name="Button 65">
              <controlPr defaultSize="0" print="0" autoFill="0" autoPict="0" macro="[0]!landcomp2_googappeal">
                <anchor moveWithCells="1" sizeWithCells="1">
                  <from>
                    <xdr:col>8</xdr:col>
                    <xdr:colOff>609600</xdr:colOff>
                    <xdr:row>54</xdr:row>
                    <xdr:rowOff>175260</xdr:rowOff>
                  </from>
                  <to>
                    <xdr:col>10</xdr:col>
                    <xdr:colOff>274320</xdr:colOff>
                    <xdr:row>57</xdr:row>
                    <xdr:rowOff>175260</xdr:rowOff>
                  </to>
                </anchor>
              </controlPr>
            </control>
          </mc:Choice>
        </mc:AlternateContent>
        <mc:AlternateContent xmlns:mc="http://schemas.openxmlformats.org/markup-compatibility/2006">
          <mc:Choice Requires="x14">
            <control shapeId="152642" r:id="rId12" name="Button 66">
              <controlPr defaultSize="0" print="0" autoFill="0" autoPict="0" macro="[0]!InsertSatellite_Slot8">
                <anchor moveWithCells="1" sizeWithCells="1">
                  <from>
                    <xdr:col>8</xdr:col>
                    <xdr:colOff>609600</xdr:colOff>
                    <xdr:row>107</xdr:row>
                    <xdr:rowOff>175260</xdr:rowOff>
                  </from>
                  <to>
                    <xdr:col>10</xdr:col>
                    <xdr:colOff>274320</xdr:colOff>
                    <xdr:row>110</xdr:row>
                    <xdr:rowOff>175260</xdr:rowOff>
                  </to>
                </anchor>
              </controlPr>
            </control>
          </mc:Choice>
        </mc:AlternateContent>
        <mc:AlternateContent xmlns:mc="http://schemas.openxmlformats.org/markup-compatibility/2006">
          <mc:Choice Requires="x14">
            <control shapeId="152643" r:id="rId13" name="Button 67">
              <controlPr defaultSize="0" print="0" autoFill="0" autoPict="0" macro="[0]!PasteImage_Slot8">
                <anchor moveWithCells="1" sizeWithCells="1">
                  <from>
                    <xdr:col>11</xdr:col>
                    <xdr:colOff>342900</xdr:colOff>
                    <xdr:row>108</xdr:row>
                    <xdr:rowOff>0</xdr:rowOff>
                  </from>
                  <to>
                    <xdr:col>13</xdr:col>
                    <xdr:colOff>30480</xdr:colOff>
                    <xdr:row>110</xdr:row>
                    <xdr:rowOff>182880</xdr:rowOff>
                  </to>
                </anchor>
              </controlPr>
            </control>
          </mc:Choice>
        </mc:AlternateContent>
        <mc:AlternateContent xmlns:mc="http://schemas.openxmlformats.org/markup-compatibility/2006">
          <mc:Choice Requires="x14">
            <control shapeId="152644" r:id="rId14" name="Button 68">
              <controlPr defaultSize="0" print="0" autoFill="0" autoPict="0" macro="[0]!land_comp3_map">
                <anchor moveWithCells="1" sizeWithCells="1">
                  <from>
                    <xdr:col>8</xdr:col>
                    <xdr:colOff>601980</xdr:colOff>
                    <xdr:row>111</xdr:row>
                    <xdr:rowOff>7620</xdr:rowOff>
                  </from>
                  <to>
                    <xdr:col>10</xdr:col>
                    <xdr:colOff>274320</xdr:colOff>
                    <xdr:row>114</xdr:row>
                    <xdr:rowOff>7620</xdr:rowOff>
                  </to>
                </anchor>
              </controlPr>
            </control>
          </mc:Choice>
        </mc:AlternateContent>
        <mc:AlternateContent xmlns:mc="http://schemas.openxmlformats.org/markup-compatibility/2006">
          <mc:Choice Requires="x14">
            <control shapeId="152645" r:id="rId15" name="Button 69">
              <controlPr defaultSize="0" print="0" autoFill="0" autoPict="0" macro="[0]!landcomp3_googappeal">
                <anchor moveWithCells="1" sizeWithCells="1">
                  <from>
                    <xdr:col>8</xdr:col>
                    <xdr:colOff>609600</xdr:colOff>
                    <xdr:row>104</xdr:row>
                    <xdr:rowOff>175260</xdr:rowOff>
                  </from>
                  <to>
                    <xdr:col>10</xdr:col>
                    <xdr:colOff>274320</xdr:colOff>
                    <xdr:row>107</xdr:row>
                    <xdr:rowOff>175260</xdr:rowOff>
                  </to>
                </anchor>
              </controlPr>
            </control>
          </mc:Choice>
        </mc:AlternateContent>
        <mc:AlternateContent xmlns:mc="http://schemas.openxmlformats.org/markup-compatibility/2006">
          <mc:Choice Requires="x14">
            <control shapeId="152646" r:id="rId16" name="Button 70">
              <controlPr defaultSize="0" print="0" autoFill="0" autoPict="0" macro="[0]!InsertSatellite_Slot9">
                <anchor moveWithCells="1" sizeWithCells="1">
                  <from>
                    <xdr:col>8</xdr:col>
                    <xdr:colOff>609600</xdr:colOff>
                    <xdr:row>157</xdr:row>
                    <xdr:rowOff>175260</xdr:rowOff>
                  </from>
                  <to>
                    <xdr:col>10</xdr:col>
                    <xdr:colOff>274320</xdr:colOff>
                    <xdr:row>160</xdr:row>
                    <xdr:rowOff>175260</xdr:rowOff>
                  </to>
                </anchor>
              </controlPr>
            </control>
          </mc:Choice>
        </mc:AlternateContent>
        <mc:AlternateContent xmlns:mc="http://schemas.openxmlformats.org/markup-compatibility/2006">
          <mc:Choice Requires="x14">
            <control shapeId="152647" r:id="rId17" name="Button 71">
              <controlPr defaultSize="0" print="0" autoFill="0" autoPict="0" macro="[0]!PasteImage_Slot9">
                <anchor moveWithCells="1" sizeWithCells="1">
                  <from>
                    <xdr:col>11</xdr:col>
                    <xdr:colOff>342900</xdr:colOff>
                    <xdr:row>158</xdr:row>
                    <xdr:rowOff>0</xdr:rowOff>
                  </from>
                  <to>
                    <xdr:col>13</xdr:col>
                    <xdr:colOff>30480</xdr:colOff>
                    <xdr:row>160</xdr:row>
                    <xdr:rowOff>182880</xdr:rowOff>
                  </to>
                </anchor>
              </controlPr>
            </control>
          </mc:Choice>
        </mc:AlternateContent>
        <mc:AlternateContent xmlns:mc="http://schemas.openxmlformats.org/markup-compatibility/2006">
          <mc:Choice Requires="x14">
            <control shapeId="152648" r:id="rId18" name="Button 72">
              <controlPr defaultSize="0" print="0" autoFill="0" autoPict="0" macro="[0]!land_comp4_map">
                <anchor moveWithCells="1" sizeWithCells="1">
                  <from>
                    <xdr:col>8</xdr:col>
                    <xdr:colOff>601980</xdr:colOff>
                    <xdr:row>161</xdr:row>
                    <xdr:rowOff>7620</xdr:rowOff>
                  </from>
                  <to>
                    <xdr:col>10</xdr:col>
                    <xdr:colOff>274320</xdr:colOff>
                    <xdr:row>164</xdr:row>
                    <xdr:rowOff>7620</xdr:rowOff>
                  </to>
                </anchor>
              </controlPr>
            </control>
          </mc:Choice>
        </mc:AlternateContent>
        <mc:AlternateContent xmlns:mc="http://schemas.openxmlformats.org/markup-compatibility/2006">
          <mc:Choice Requires="x14">
            <control shapeId="152649" r:id="rId19" name="Button 73">
              <controlPr defaultSize="0" print="0" autoFill="0" autoPict="0" macro="[0]!landcomp4_googappeal">
                <anchor moveWithCells="1" sizeWithCells="1">
                  <from>
                    <xdr:col>8</xdr:col>
                    <xdr:colOff>609600</xdr:colOff>
                    <xdr:row>154</xdr:row>
                    <xdr:rowOff>175260</xdr:rowOff>
                  </from>
                  <to>
                    <xdr:col>10</xdr:col>
                    <xdr:colOff>274320</xdr:colOff>
                    <xdr:row>157</xdr:row>
                    <xdr:rowOff>175260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610CB2-14A3-4363-A283-7B43F4233630}">
  <sheetPr codeName="Sheet43">
    <tabColor theme="9" tint="-0.249977111117893"/>
  </sheetPr>
  <dimension ref="A1:AA43"/>
  <sheetViews>
    <sheetView view="pageLayout" zoomScale="85" zoomScaleNormal="130" zoomScaleSheetLayoutView="100" zoomScalePageLayoutView="85" workbookViewId="0">
      <selection activeCell="D8" sqref="D8"/>
    </sheetView>
  </sheetViews>
  <sheetFormatPr defaultColWidth="8.5546875" defaultRowHeight="14.25" customHeight="1"/>
  <cols>
    <col min="1" max="14" width="8.6640625" customWidth="1"/>
  </cols>
  <sheetData>
    <row r="1" spans="1:27" s="105" customFormat="1" ht="14.25" customHeight="1">
      <c r="A1" s="982" t="s">
        <v>89</v>
      </c>
      <c r="B1" s="982"/>
      <c r="C1" s="982"/>
      <c r="D1" s="982"/>
      <c r="E1" s="982"/>
      <c r="F1" s="982"/>
      <c r="G1" s="982"/>
      <c r="H1" s="982"/>
      <c r="I1" s="982"/>
      <c r="J1" s="982"/>
      <c r="K1" s="982"/>
      <c r="L1" s="982"/>
      <c r="M1" s="982"/>
      <c r="N1" s="982"/>
      <c r="O1" s="982"/>
      <c r="P1" s="57"/>
    </row>
    <row r="2" spans="1:27" ht="14.25" customHeight="1">
      <c r="B2" s="21"/>
      <c r="C2" s="21"/>
      <c r="D2" s="21"/>
      <c r="E2" s="21"/>
      <c r="F2" s="21"/>
      <c r="G2" s="21"/>
      <c r="H2" s="21"/>
      <c r="I2" s="21"/>
      <c r="J2" s="21"/>
      <c r="K2" s="21"/>
      <c r="L2" s="21"/>
      <c r="M2" s="21"/>
      <c r="N2" s="21"/>
      <c r="O2" s="21"/>
    </row>
    <row r="3" spans="1:27" ht="14.25" customHeight="1">
      <c r="A3" s="21"/>
      <c r="B3" s="21"/>
      <c r="C3" s="21"/>
      <c r="D3" s="21"/>
      <c r="E3" s="21"/>
      <c r="F3" s="21"/>
      <c r="G3" s="21"/>
      <c r="H3" s="21"/>
      <c r="I3" s="21"/>
      <c r="J3" s="21"/>
      <c r="K3" s="21"/>
      <c r="L3" s="21"/>
      <c r="M3" s="21"/>
      <c r="N3" s="21"/>
      <c r="O3" s="21"/>
    </row>
    <row r="4" spans="1:27" ht="14.25" customHeight="1">
      <c r="A4" s="21"/>
      <c r="B4" s="21"/>
      <c r="C4" s="21"/>
      <c r="D4" s="21"/>
      <c r="E4" s="21"/>
      <c r="F4" s="21"/>
      <c r="G4" s="21"/>
      <c r="H4" s="21"/>
      <c r="I4" s="21"/>
      <c r="J4" s="21"/>
      <c r="K4" s="21"/>
      <c r="L4" s="21"/>
      <c r="M4" s="21"/>
      <c r="N4" s="21"/>
      <c r="O4" s="21"/>
    </row>
    <row r="5" spans="1:27" ht="14.25" customHeight="1">
      <c r="A5" s="21"/>
      <c r="B5" s="21"/>
      <c r="C5" s="21"/>
      <c r="D5" s="21"/>
      <c r="E5" s="21"/>
      <c r="F5" s="21"/>
      <c r="G5" s="21"/>
      <c r="H5" s="21"/>
      <c r="I5" s="21"/>
      <c r="J5" s="21"/>
      <c r="K5" s="21"/>
      <c r="L5" s="21"/>
      <c r="M5" s="21"/>
      <c r="N5" s="21"/>
      <c r="O5" s="21"/>
    </row>
    <row r="6" spans="1:27" ht="14.25" customHeight="1">
      <c r="A6" s="21"/>
      <c r="B6" s="21"/>
      <c r="C6" s="21"/>
      <c r="D6" s="21"/>
      <c r="E6" s="21"/>
      <c r="F6" s="21"/>
      <c r="G6" s="21"/>
      <c r="H6" s="21"/>
      <c r="I6" s="21"/>
      <c r="J6" s="21"/>
      <c r="K6" s="21"/>
      <c r="L6" s="21"/>
      <c r="M6" s="21"/>
      <c r="N6" s="21"/>
      <c r="O6" s="21"/>
    </row>
    <row r="7" spans="1:27" ht="14.25" customHeight="1">
      <c r="A7" s="21"/>
      <c r="B7" s="21"/>
      <c r="C7" s="21"/>
      <c r="D7" s="21"/>
      <c r="E7" s="21"/>
      <c r="F7" s="21"/>
      <c r="G7" s="21"/>
      <c r="H7" s="21"/>
      <c r="I7" s="21"/>
      <c r="J7" s="21"/>
      <c r="K7" s="21"/>
      <c r="L7" s="21"/>
      <c r="M7" s="21"/>
      <c r="N7" s="21"/>
      <c r="O7" s="21"/>
    </row>
    <row r="8" spans="1:27" ht="14.25" customHeight="1">
      <c r="A8" s="21"/>
      <c r="B8" s="21"/>
      <c r="C8" s="21"/>
      <c r="D8" s="21"/>
      <c r="E8" s="21"/>
      <c r="F8" s="21"/>
      <c r="G8" s="21"/>
      <c r="H8" s="21"/>
      <c r="I8" s="21"/>
      <c r="J8" s="21"/>
      <c r="K8" s="21"/>
      <c r="L8" s="21"/>
      <c r="M8" s="21"/>
      <c r="N8" s="21"/>
      <c r="O8" s="21"/>
    </row>
    <row r="9" spans="1:27" ht="14.25" customHeight="1">
      <c r="A9" s="21"/>
      <c r="B9" s="21"/>
      <c r="C9" s="21"/>
      <c r="D9" s="21"/>
      <c r="E9" s="21"/>
      <c r="F9" s="21"/>
      <c r="G9" s="21"/>
      <c r="H9" s="21"/>
      <c r="I9" s="21"/>
      <c r="J9" s="21"/>
      <c r="K9" s="21"/>
      <c r="L9" s="21"/>
      <c r="M9" s="21"/>
      <c r="N9" s="21"/>
      <c r="O9" s="21"/>
    </row>
    <row r="10" spans="1:27" ht="14.25" customHeight="1">
      <c r="A10" s="21"/>
      <c r="B10" s="21"/>
      <c r="C10" s="21"/>
      <c r="D10" s="21"/>
      <c r="E10" s="21"/>
      <c r="F10" s="21"/>
      <c r="G10" s="21"/>
      <c r="H10" s="21"/>
      <c r="I10" s="21"/>
      <c r="J10" s="21"/>
      <c r="K10" s="21"/>
      <c r="L10" s="21"/>
      <c r="M10" s="21"/>
      <c r="N10" s="21"/>
      <c r="O10" s="21"/>
      <c r="T10" s="979" t="s">
        <v>266</v>
      </c>
      <c r="U10" s="979"/>
      <c r="V10" s="979"/>
      <c r="W10" s="979"/>
      <c r="X10" s="979"/>
      <c r="Y10" s="979"/>
      <c r="Z10" s="979"/>
      <c r="AA10" s="979"/>
    </row>
    <row r="11" spans="1:27" ht="14.25" customHeight="1">
      <c r="A11" s="21"/>
      <c r="B11" s="21"/>
      <c r="C11" s="21"/>
      <c r="D11" s="21"/>
      <c r="E11" s="21"/>
      <c r="F11" s="21"/>
      <c r="G11" s="21"/>
      <c r="H11" s="21"/>
      <c r="I11" s="21"/>
      <c r="J11" s="21"/>
      <c r="K11" s="21"/>
      <c r="L11" s="21"/>
      <c r="M11" s="21"/>
      <c r="N11" s="21"/>
      <c r="O11" s="21"/>
      <c r="T11" s="979"/>
      <c r="U11" s="979"/>
      <c r="V11" s="979"/>
      <c r="W11" s="979"/>
      <c r="X11" s="979"/>
      <c r="Y11" s="979"/>
      <c r="Z11" s="979"/>
      <c r="AA11" s="979"/>
    </row>
    <row r="12" spans="1:27" ht="14.25" customHeight="1">
      <c r="A12" s="21"/>
      <c r="B12" s="21"/>
      <c r="C12" s="21"/>
      <c r="D12" s="21"/>
      <c r="E12" s="21"/>
      <c r="F12" s="21"/>
      <c r="G12" s="21"/>
      <c r="H12" s="21"/>
      <c r="I12" s="21"/>
      <c r="J12" s="21"/>
      <c r="K12" s="21"/>
      <c r="L12" s="21"/>
      <c r="M12" s="21"/>
      <c r="N12" s="21"/>
      <c r="O12" s="21"/>
      <c r="T12" s="979"/>
      <c r="U12" s="979"/>
      <c r="V12" s="979"/>
      <c r="W12" s="979"/>
      <c r="X12" s="979"/>
      <c r="Y12" s="979"/>
      <c r="Z12" s="979"/>
      <c r="AA12" s="979"/>
    </row>
    <row r="13" spans="1:27" ht="14.25" customHeight="1">
      <c r="A13" s="21"/>
      <c r="B13" s="21"/>
      <c r="C13" s="21"/>
      <c r="D13" s="21"/>
      <c r="E13" s="21"/>
      <c r="F13" s="21"/>
      <c r="G13" s="21"/>
      <c r="H13" s="21"/>
      <c r="I13" s="21"/>
      <c r="J13" s="21"/>
      <c r="K13" s="21"/>
      <c r="L13" s="21"/>
      <c r="M13" s="21"/>
      <c r="N13" s="21"/>
      <c r="O13" s="21"/>
    </row>
    <row r="14" spans="1:27" ht="14.25" customHeight="1">
      <c r="A14" s="21"/>
      <c r="B14" s="21"/>
      <c r="C14" s="21"/>
      <c r="D14" s="21"/>
      <c r="E14" s="21"/>
      <c r="F14" s="21"/>
      <c r="G14" s="21"/>
      <c r="H14" s="21"/>
      <c r="I14" s="21"/>
      <c r="J14" s="21"/>
      <c r="K14" s="21"/>
      <c r="L14" s="21"/>
      <c r="M14" s="21"/>
      <c r="N14" s="21"/>
      <c r="O14" s="21"/>
    </row>
    <row r="15" spans="1:27" ht="14.25" customHeight="1">
      <c r="A15" s="21"/>
      <c r="B15" s="21"/>
      <c r="C15" s="21"/>
      <c r="D15" s="21"/>
      <c r="E15" s="21"/>
      <c r="F15" s="21"/>
      <c r="G15" s="21"/>
      <c r="H15" s="21"/>
      <c r="I15" s="21"/>
      <c r="J15" s="21"/>
      <c r="K15" s="21"/>
      <c r="L15" s="21"/>
      <c r="M15" s="21"/>
      <c r="N15" s="21"/>
      <c r="O15" s="21"/>
    </row>
    <row r="16" spans="1:27" ht="14.25" customHeight="1">
      <c r="A16" s="21"/>
      <c r="B16" s="21"/>
      <c r="C16" s="21"/>
      <c r="D16" s="21"/>
      <c r="E16" s="21"/>
      <c r="F16" s="21"/>
      <c r="G16" s="21"/>
      <c r="H16" s="21"/>
      <c r="I16" s="21"/>
      <c r="J16" s="21"/>
      <c r="K16" s="21"/>
      <c r="L16" s="21"/>
      <c r="M16" s="21"/>
      <c r="N16" s="21"/>
      <c r="O16" s="21"/>
    </row>
    <row r="17" spans="1:21" ht="14.25" customHeight="1">
      <c r="A17" s="21"/>
      <c r="B17" s="21"/>
      <c r="C17" s="21"/>
      <c r="D17" s="21"/>
      <c r="E17" s="21"/>
      <c r="F17" s="21"/>
      <c r="G17" s="21"/>
      <c r="H17" s="21"/>
      <c r="I17" s="21"/>
      <c r="J17" s="21"/>
      <c r="K17" s="21"/>
      <c r="L17" s="21"/>
      <c r="M17" s="21"/>
      <c r="N17" s="21"/>
      <c r="O17" s="21"/>
    </row>
    <row r="18" spans="1:21" ht="14.25" customHeight="1">
      <c r="A18" s="21"/>
      <c r="B18" s="21"/>
      <c r="C18" s="21"/>
      <c r="D18" s="21"/>
      <c r="E18" s="21"/>
      <c r="F18" s="21"/>
      <c r="G18" s="21"/>
      <c r="H18" s="21"/>
      <c r="I18" s="21"/>
      <c r="J18" s="21"/>
      <c r="K18" s="21"/>
      <c r="L18" s="21"/>
      <c r="M18" s="21"/>
      <c r="N18" s="21"/>
      <c r="O18" s="21"/>
    </row>
    <row r="19" spans="1:21" ht="14.25" customHeight="1">
      <c r="A19" s="21"/>
      <c r="B19" s="21"/>
      <c r="C19" s="21"/>
      <c r="D19" s="21"/>
      <c r="E19" s="21"/>
      <c r="F19" s="21"/>
      <c r="G19" s="21"/>
      <c r="H19" s="21"/>
      <c r="I19" s="21"/>
      <c r="J19" s="21"/>
      <c r="K19" s="21"/>
      <c r="L19" s="21"/>
      <c r="M19" s="21"/>
      <c r="N19" s="21"/>
      <c r="O19" s="21"/>
    </row>
    <row r="20" spans="1:21" ht="14.25" customHeight="1">
      <c r="A20" s="21"/>
      <c r="B20" s="21"/>
      <c r="C20" s="21"/>
      <c r="D20" s="21"/>
      <c r="E20" s="21"/>
      <c r="F20" s="21"/>
      <c r="G20" s="21"/>
      <c r="H20" s="21"/>
      <c r="I20" s="21"/>
      <c r="J20" s="21"/>
      <c r="K20" s="21"/>
      <c r="L20" s="21"/>
      <c r="M20" s="21"/>
      <c r="N20" s="21"/>
      <c r="O20" s="21"/>
    </row>
    <row r="21" spans="1:21" ht="14.25" customHeight="1">
      <c r="A21" s="21"/>
      <c r="B21" s="21"/>
      <c r="C21" s="21"/>
      <c r="D21" s="21"/>
      <c r="E21" s="21"/>
      <c r="F21" s="21"/>
      <c r="G21" s="21"/>
      <c r="H21" s="21"/>
      <c r="I21" s="21"/>
      <c r="J21" s="21"/>
      <c r="K21" s="21"/>
      <c r="L21" s="21"/>
      <c r="M21" s="21"/>
      <c r="N21" s="21"/>
      <c r="O21" s="21"/>
    </row>
    <row r="22" spans="1:21" ht="14.25" customHeight="1">
      <c r="A22" s="21"/>
      <c r="B22" s="21"/>
      <c r="C22" s="21"/>
      <c r="D22" s="21"/>
      <c r="E22" s="21"/>
      <c r="F22" s="21"/>
      <c r="G22" s="21"/>
      <c r="H22" s="21"/>
      <c r="I22" s="21"/>
      <c r="J22" s="21"/>
      <c r="K22" s="21"/>
      <c r="L22" s="21"/>
      <c r="M22" s="21"/>
      <c r="N22" s="21"/>
      <c r="O22" s="21"/>
    </row>
    <row r="23" spans="1:21" ht="14.25" customHeight="1">
      <c r="A23" s="21"/>
      <c r="B23" s="21"/>
      <c r="C23" s="21"/>
      <c r="D23" s="21"/>
      <c r="E23" s="21"/>
      <c r="F23" s="21"/>
      <c r="G23" s="21"/>
      <c r="H23" s="21"/>
      <c r="I23" s="21"/>
      <c r="J23" s="21"/>
      <c r="K23" s="21"/>
      <c r="L23" s="21"/>
      <c r="M23" s="21"/>
      <c r="N23" s="21"/>
      <c r="O23" s="21"/>
    </row>
    <row r="24" spans="1:21" ht="14.25" customHeight="1">
      <c r="A24" s="21"/>
      <c r="B24" s="21"/>
      <c r="C24" s="21"/>
      <c r="D24" s="21"/>
      <c r="E24" s="21"/>
      <c r="F24" s="21"/>
      <c r="G24" s="21"/>
      <c r="H24" s="21"/>
      <c r="I24" s="21"/>
      <c r="J24" s="21"/>
      <c r="K24" s="21"/>
      <c r="L24" s="21"/>
      <c r="M24" s="21"/>
      <c r="N24" s="21"/>
      <c r="O24" s="21"/>
      <c r="T24" s="1" t="s">
        <v>193</v>
      </c>
      <c r="U24" t="str">
        <f>CONCATENATE(UPPER(TEXT(IF(LEN(TRIM(INPUT!B31))&gt;0, INPUT!B31, INPUT!B43), "@")), ", ", UPPER(TEXT(INPUT!B32,"@")), ", CA")</f>
        <v>1215 GRAPHITE DR, CORONA, CA</v>
      </c>
    </row>
    <row r="25" spans="1:21" ht="14.25" customHeight="1">
      <c r="A25" s="21"/>
      <c r="B25" s="21"/>
      <c r="C25" s="21"/>
      <c r="D25" s="21"/>
      <c r="E25" s="21"/>
      <c r="F25" s="21"/>
      <c r="G25" s="21"/>
      <c r="H25" s="21"/>
      <c r="I25" s="21"/>
      <c r="J25" s="21"/>
      <c r="K25" s="21"/>
      <c r="L25" s="21"/>
      <c r="M25" s="21"/>
      <c r="N25" s="21"/>
      <c r="O25" s="21"/>
      <c r="T25" s="1">
        <v>1</v>
      </c>
      <c r="U25" t="str">
        <f>CONCATENATE("",UPPER(TEXT('Sales Grid'!D10,"")),", ",UPPER(TEXT('Sales Grid'!D11,"")),", CA")</f>
        <v>255 GLIDER CIR, CORONA, CA</v>
      </c>
    </row>
    <row r="26" spans="1:21" ht="14.25" customHeight="1">
      <c r="A26" s="21"/>
      <c r="B26" s="21"/>
      <c r="C26" s="21"/>
      <c r="D26" s="21"/>
      <c r="E26" s="21"/>
      <c r="F26" s="21"/>
      <c r="G26" s="21"/>
      <c r="H26" s="21"/>
      <c r="I26" s="21"/>
      <c r="J26" s="21"/>
      <c r="K26" s="21"/>
      <c r="L26" s="21"/>
      <c r="M26" s="21"/>
      <c r="N26" s="21"/>
      <c r="O26" s="21"/>
      <c r="T26" s="1">
        <v>2</v>
      </c>
      <c r="U26" t="str">
        <f>CONCATENATE("",UPPER(TEXT('Sales Grid'!E10,"")),", ",UPPER(TEXT('Sales Grid'!E11,"")),", CA")</f>
        <v>127 RADIO RD, CORONA, CA</v>
      </c>
    </row>
    <row r="27" spans="1:21" ht="14.25" customHeight="1">
      <c r="A27" s="21"/>
      <c r="B27" s="21"/>
      <c r="C27" s="21"/>
      <c r="D27" s="21"/>
      <c r="E27" s="21"/>
      <c r="F27" s="21"/>
      <c r="G27" s="21"/>
      <c r="H27" s="21"/>
      <c r="I27" s="21"/>
      <c r="J27" s="21"/>
      <c r="K27" s="21"/>
      <c r="L27" s="21"/>
      <c r="M27" s="21"/>
      <c r="N27" s="21"/>
      <c r="O27" s="21"/>
      <c r="T27" s="1">
        <v>3</v>
      </c>
      <c r="U27" t="str">
        <f>CONCATENATE("",UPPER(TEXT('Sales Grid'!F10,"")),", ",UPPER(TEXT('Sales Grid'!F11,"")),", CA")</f>
        <v>1220 GRAPHITE DR, CORONA, CA</v>
      </c>
    </row>
    <row r="28" spans="1:21" ht="14.25" customHeight="1">
      <c r="A28" s="21"/>
      <c r="B28" s="21"/>
      <c r="C28" s="21"/>
      <c r="D28" s="21"/>
      <c r="E28" s="21"/>
      <c r="F28" s="21"/>
      <c r="G28" s="21"/>
      <c r="H28" s="21"/>
      <c r="I28" s="21"/>
      <c r="J28" s="21"/>
      <c r="K28" s="21"/>
      <c r="L28" s="21"/>
      <c r="M28" s="21"/>
      <c r="N28" s="21"/>
      <c r="O28" s="21"/>
      <c r="T28" s="1">
        <v>4</v>
      </c>
      <c r="U28" t="str">
        <f>CONCATENATE("",UPPER(TEXT('Sales Grid'!G10,"")),", ",UPPER(TEXT('Sales Grid'!G11,"")),", CA")</f>
        <v>3403 DURAHART ST, RIVERSIDE, CA</v>
      </c>
    </row>
    <row r="29" spans="1:21" ht="14.25" customHeight="1">
      <c r="A29" s="21"/>
      <c r="B29" s="21"/>
      <c r="C29" s="21"/>
      <c r="D29" s="21"/>
      <c r="E29" s="21"/>
      <c r="F29" s="21"/>
      <c r="G29" s="21"/>
      <c r="H29" s="21"/>
      <c r="I29" s="21"/>
      <c r="J29" s="21"/>
      <c r="K29" s="21"/>
      <c r="L29" s="21"/>
      <c r="M29" s="21"/>
      <c r="N29" s="21"/>
      <c r="O29" s="21"/>
      <c r="T29" s="1"/>
    </row>
    <row r="30" spans="1:21" ht="14.25" customHeight="1">
      <c r="A30" s="21"/>
      <c r="B30" s="21"/>
      <c r="C30" s="21"/>
      <c r="D30" s="21"/>
      <c r="E30" s="21"/>
      <c r="F30" s="21"/>
      <c r="G30" s="21"/>
      <c r="H30" s="21"/>
      <c r="I30" s="21"/>
      <c r="J30" s="21"/>
      <c r="K30" s="21"/>
      <c r="L30" s="21"/>
      <c r="M30" s="21"/>
      <c r="N30" s="21"/>
      <c r="O30" s="21"/>
      <c r="T30" s="1"/>
    </row>
    <row r="31" spans="1:21" ht="14.25" customHeight="1">
      <c r="A31" s="21"/>
      <c r="B31" s="21"/>
      <c r="C31" s="21"/>
      <c r="D31" s="21"/>
      <c r="E31" s="21"/>
      <c r="F31" s="21"/>
      <c r="G31" s="21"/>
      <c r="H31" s="21"/>
      <c r="I31" s="21"/>
      <c r="J31" s="21"/>
      <c r="K31" s="21"/>
      <c r="L31" s="21"/>
      <c r="M31" s="21"/>
      <c r="N31" s="21"/>
      <c r="O31" s="21"/>
      <c r="T31" s="1"/>
    </row>
    <row r="32" spans="1:21" ht="14.25" customHeight="1">
      <c r="A32" s="21"/>
      <c r="B32" s="21"/>
      <c r="C32" s="21"/>
      <c r="D32" s="21"/>
      <c r="E32" s="21"/>
      <c r="F32" s="21"/>
      <c r="G32" s="21"/>
      <c r="H32" s="21"/>
      <c r="I32" s="21"/>
      <c r="J32" s="21"/>
      <c r="K32" s="21"/>
      <c r="L32" s="21"/>
      <c r="M32" s="21"/>
      <c r="N32" s="21"/>
      <c r="O32" s="21"/>
      <c r="T32" s="1"/>
    </row>
    <row r="33" spans="1:20" ht="14.25" customHeight="1">
      <c r="A33" s="21"/>
      <c r="B33" s="21"/>
      <c r="C33" s="21"/>
      <c r="D33" s="21"/>
      <c r="E33" s="21"/>
      <c r="F33" s="21"/>
      <c r="G33" s="21"/>
      <c r="H33" s="21"/>
      <c r="I33" s="21"/>
      <c r="J33" s="21"/>
      <c r="K33" s="21"/>
      <c r="L33" s="21"/>
      <c r="M33" s="21"/>
      <c r="N33" s="21"/>
      <c r="O33" s="21"/>
      <c r="T33" s="1"/>
    </row>
    <row r="34" spans="1:20" ht="14.25" customHeight="1">
      <c r="A34" s="21"/>
      <c r="B34" s="21"/>
      <c r="C34" s="21"/>
      <c r="D34" s="21"/>
      <c r="E34" s="21"/>
      <c r="F34" s="21"/>
      <c r="G34" s="21"/>
      <c r="H34" s="21"/>
      <c r="I34" s="21"/>
      <c r="J34" s="21"/>
      <c r="K34" s="21"/>
      <c r="L34" s="21"/>
      <c r="M34" s="21"/>
      <c r="N34" s="21"/>
      <c r="O34" s="21"/>
      <c r="T34" s="1"/>
    </row>
    <row r="35" spans="1:20" ht="14.25" customHeight="1">
      <c r="A35" s="983" t="str">
        <f>CONCATENATE(
"SUBJECT LOCATED AT: ",
UPPER(IF(LEN(INPUT!B31)&gt;0, INPUT!B31, INPUT!B43)),
", ",
UPPER(INPUT!B32),
", CA"
)</f>
        <v>SUBJECT LOCATED AT: 1215 GRAPHITE DR, CORONA, CA</v>
      </c>
      <c r="B35" s="983"/>
      <c r="C35" s="983"/>
      <c r="D35" s="983"/>
      <c r="E35" s="983"/>
      <c r="F35" s="983"/>
      <c r="G35" s="983"/>
      <c r="H35" s="983"/>
      <c r="I35" s="983"/>
      <c r="J35" s="983"/>
      <c r="K35" s="983"/>
      <c r="L35" s="983"/>
      <c r="M35" s="983"/>
      <c r="N35" s="983"/>
      <c r="O35" s="983"/>
    </row>
    <row r="36" spans="1:20" ht="14.25" customHeight="1">
      <c r="A36" s="983" t="str">
        <f>CONCATENATE("COMP #1 LOCATED AT: ",UPPER(TEXT('Sales Grid'!D10,"")),", ",UPPER(TEXT('Sales Grid'!D11,"")),", CA")</f>
        <v>COMP #1 LOCATED AT: 255 GLIDER CIR, CORONA, CA</v>
      </c>
      <c r="B36" s="983"/>
      <c r="C36" s="983"/>
      <c r="D36" s="983"/>
      <c r="E36" s="983"/>
      <c r="F36" s="983"/>
      <c r="G36" s="983"/>
      <c r="H36" s="983"/>
      <c r="I36" s="983"/>
      <c r="J36" s="983"/>
      <c r="K36" s="983"/>
      <c r="L36" s="983"/>
      <c r="M36" s="983"/>
      <c r="N36" s="983"/>
      <c r="O36" s="983"/>
    </row>
    <row r="37" spans="1:20" ht="14.25" customHeight="1">
      <c r="A37" s="983" t="str">
        <f>CONCATENATE("COMP #2 LOCATED AT: ",UPPER(TEXT('Sales Grid'!E10,"")),", ",UPPER(TEXT('Sales Grid'!E11,"")),", CA")</f>
        <v>COMP #2 LOCATED AT: 127 RADIO RD, CORONA, CA</v>
      </c>
      <c r="B37" s="983"/>
      <c r="C37" s="983"/>
      <c r="D37" s="983"/>
      <c r="E37" s="983"/>
      <c r="F37" s="983"/>
      <c r="G37" s="983"/>
      <c r="H37" s="983"/>
      <c r="I37" s="983"/>
      <c r="J37" s="983"/>
      <c r="K37" s="983"/>
      <c r="L37" s="983"/>
      <c r="M37" s="983"/>
      <c r="N37" s="983"/>
      <c r="O37" s="983"/>
    </row>
    <row r="38" spans="1:20" ht="14.25" customHeight="1">
      <c r="A38" s="983" t="str">
        <f>CONCATENATE("COMP #3 LOCATED AT: ",UPPER(TEXT('Sales Grid'!F10,"")),", ",UPPER(TEXT('Sales Grid'!F11,"")),", CA")</f>
        <v>COMP #3 LOCATED AT: 1220 GRAPHITE DR, CORONA, CA</v>
      </c>
      <c r="B38" s="983"/>
      <c r="C38" s="983"/>
      <c r="D38" s="983"/>
      <c r="E38" s="983"/>
      <c r="F38" s="983"/>
      <c r="G38" s="983"/>
      <c r="H38" s="983"/>
      <c r="I38" s="983"/>
      <c r="J38" s="983"/>
      <c r="K38" s="983"/>
      <c r="L38" s="983"/>
      <c r="M38" s="983"/>
      <c r="N38" s="983"/>
      <c r="O38" s="983"/>
    </row>
    <row r="39" spans="1:20" ht="14.25" customHeight="1">
      <c r="A39" s="983" t="str">
        <f>CONCATENATE("COMP #4 LOCATED AT: ",UPPER(TEXT('Sales Grid'!G10,"")),", ",UPPER(TEXT('Sales Grid'!G11,"")),", CA")</f>
        <v>COMP #4 LOCATED AT: 3403 DURAHART ST, RIVERSIDE, CA</v>
      </c>
      <c r="B39" s="983"/>
      <c r="C39" s="983"/>
      <c r="D39" s="983"/>
      <c r="E39" s="983"/>
      <c r="F39" s="983"/>
      <c r="G39" s="983"/>
      <c r="H39" s="983"/>
      <c r="I39" s="983"/>
      <c r="J39" s="983"/>
      <c r="K39" s="983"/>
      <c r="L39" s="983"/>
      <c r="M39" s="983"/>
      <c r="N39" s="983"/>
      <c r="O39" s="983"/>
    </row>
    <row r="43" spans="1:20" ht="14.25" customHeight="1">
      <c r="A43" s="980"/>
      <c r="B43" s="981"/>
      <c r="C43" s="981"/>
      <c r="D43" s="981"/>
    </row>
  </sheetData>
  <sheetProtection formatColumns="0" formatRows="0" insertColumns="0" insertRows="0"/>
  <mergeCells count="8">
    <mergeCell ref="T10:AA12"/>
    <mergeCell ref="A43:D43"/>
    <mergeCell ref="A1:O1"/>
    <mergeCell ref="A35:O35"/>
    <mergeCell ref="A36:O36"/>
    <mergeCell ref="A37:O37"/>
    <mergeCell ref="A38:O38"/>
    <mergeCell ref="A39:O39"/>
  </mergeCells>
  <printOptions horizontalCentered="1" verticalCentered="1"/>
  <pageMargins left="0.25" right="0.25" top="0.5" bottom="0.5" header="0.3" footer="0.3"/>
  <pageSetup scale="97" orientation="landscape" r:id="rId1"/>
  <headerFooter scaleWithDoc="0"/>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OpenImpMapAddresses_MapFromCoords">
                <anchor moveWithCells="1" sizeWithCells="1">
                  <from>
                    <xdr:col>15</xdr:col>
                    <xdr:colOff>388620</xdr:colOff>
                    <xdr:row>8</xdr:row>
                    <xdr:rowOff>182880</xdr:rowOff>
                  </from>
                  <to>
                    <xdr:col>18</xdr:col>
                    <xdr:colOff>518160</xdr:colOff>
                    <xdr:row>12</xdr:row>
                    <xdr:rowOff>83820</xdr:rowOff>
                  </to>
                </anchor>
              </controlPr>
            </control>
          </mc:Choice>
        </mc:AlternateContent>
        <mc:AlternateContent xmlns:mc="http://schemas.openxmlformats.org/markup-compatibility/2006">
          <mc:Choice Requires="x14">
            <control shapeId="78851" r:id="rId5" name="Button 3">
              <controlPr defaultSize="0" print="0" autoFill="0" autoPict="0" macro="[0]!PasteImageWithBorder_MAP">
                <anchor moveWithCells="1" sizeWithCells="1">
                  <from>
                    <xdr:col>15</xdr:col>
                    <xdr:colOff>403860</xdr:colOff>
                    <xdr:row>13</xdr:row>
                    <xdr:rowOff>99060</xdr:rowOff>
                  </from>
                  <to>
                    <xdr:col>18</xdr:col>
                    <xdr:colOff>518160</xdr:colOff>
                    <xdr:row>16</xdr:row>
                    <xdr:rowOff>182880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0DD841-2C6A-4B2C-A219-BCA7AA80921F}">
  <sheetPr codeName="Sheet51">
    <pageSetUpPr fitToPage="1"/>
  </sheetPr>
  <dimension ref="A1:X28"/>
  <sheetViews>
    <sheetView showGridLines="0" zoomScale="115" zoomScaleNormal="115" zoomScaleSheetLayoutView="145" zoomScalePageLayoutView="85" workbookViewId="0">
      <selection activeCell="M29" sqref="M29"/>
    </sheetView>
  </sheetViews>
  <sheetFormatPr defaultColWidth="9.109375" defaultRowHeight="13.2"/>
  <cols>
    <col min="1" max="1" width="6" style="190" customWidth="1"/>
    <col min="2" max="2" width="8.6640625" style="190" customWidth="1"/>
    <col min="3" max="3" width="17.33203125" style="190" customWidth="1"/>
    <col min="4" max="4" width="12" style="190" customWidth="1"/>
    <col min="5" max="5" width="9.44140625" style="190" customWidth="1"/>
    <col min="6" max="6" width="9.33203125" style="190" bestFit="1" customWidth="1"/>
    <col min="7" max="7" width="8.33203125" style="190" customWidth="1"/>
    <col min="8" max="8" width="15.6640625" style="190" customWidth="1"/>
    <col min="9" max="9" width="17.88671875" style="190" customWidth="1"/>
    <col min="10" max="16384" width="9.109375" style="190"/>
  </cols>
  <sheetData>
    <row r="1" spans="1:24" ht="18">
      <c r="A1" s="988" t="s">
        <v>426</v>
      </c>
      <c r="B1" s="989"/>
      <c r="C1" s="989"/>
      <c r="D1" s="989"/>
      <c r="E1" s="989"/>
      <c r="F1" s="989"/>
      <c r="G1" s="989"/>
      <c r="H1" s="989"/>
      <c r="I1" s="989"/>
      <c r="J1" s="989"/>
    </row>
    <row r="3" spans="1:24" ht="13.65" customHeight="1">
      <c r="A3" s="990" t="s">
        <v>449</v>
      </c>
      <c r="B3" s="990"/>
      <c r="C3" s="990"/>
      <c r="D3" s="990"/>
      <c r="E3" s="990"/>
      <c r="F3" s="990"/>
      <c r="G3" s="990"/>
      <c r="H3" s="990"/>
      <c r="I3" s="990"/>
      <c r="J3" s="990"/>
    </row>
    <row r="4" spans="1:24" ht="13.65" customHeight="1">
      <c r="A4" s="990"/>
      <c r="B4" s="990"/>
      <c r="C4" s="990"/>
      <c r="D4" s="990"/>
      <c r="E4" s="990"/>
      <c r="F4" s="990"/>
      <c r="G4" s="990"/>
      <c r="H4" s="990"/>
      <c r="I4" s="990"/>
      <c r="J4" s="990"/>
    </row>
    <row r="5" spans="1:24" ht="13.65" customHeight="1">
      <c r="A5" s="841"/>
      <c r="B5" s="841"/>
      <c r="C5" s="841"/>
      <c r="D5" s="841"/>
      <c r="E5" s="841"/>
      <c r="F5" s="841"/>
      <c r="G5" s="841"/>
      <c r="H5" s="841"/>
      <c r="I5" s="841"/>
      <c r="J5" s="841"/>
    </row>
    <row r="6" spans="1:24">
      <c r="A6" s="991" t="s">
        <v>454</v>
      </c>
      <c r="B6" s="991"/>
      <c r="C6" s="991"/>
      <c r="D6" s="991"/>
      <c r="E6" s="991"/>
      <c r="F6" s="991"/>
      <c r="G6" s="991"/>
      <c r="H6" s="991"/>
      <c r="I6" s="991"/>
      <c r="J6" s="991"/>
    </row>
    <row r="7" spans="1:24">
      <c r="A7" s="991"/>
      <c r="B7" s="991"/>
      <c r="C7" s="991"/>
      <c r="D7" s="991"/>
      <c r="E7" s="991"/>
      <c r="F7" s="991"/>
      <c r="G7" s="991"/>
      <c r="H7" s="991"/>
      <c r="I7" s="991"/>
      <c r="J7" s="991"/>
    </row>
    <row r="8" spans="1:24">
      <c r="A8" s="991"/>
      <c r="B8" s="991"/>
      <c r="C8" s="991"/>
      <c r="D8" s="991"/>
      <c r="E8" s="991"/>
      <c r="F8" s="991"/>
      <c r="G8" s="991"/>
      <c r="H8" s="991"/>
      <c r="I8" s="991"/>
      <c r="J8" s="991"/>
    </row>
    <row r="9" spans="1:24" ht="27" customHeight="1">
      <c r="A9" s="991"/>
      <c r="B9" s="991"/>
      <c r="C9" s="991"/>
      <c r="D9" s="991"/>
      <c r="E9" s="991"/>
      <c r="F9" s="991"/>
      <c r="G9" s="991"/>
      <c r="H9" s="991"/>
      <c r="I9" s="991"/>
      <c r="J9" s="991"/>
    </row>
    <row r="10" spans="1:24">
      <c r="A10" s="992" t="s">
        <v>455</v>
      </c>
      <c r="B10" s="992"/>
      <c r="C10" s="992"/>
      <c r="D10" s="992"/>
      <c r="E10" s="992"/>
      <c r="F10" s="992"/>
      <c r="G10" s="992"/>
      <c r="H10" s="992"/>
      <c r="I10" s="992"/>
      <c r="J10" s="992"/>
    </row>
    <row r="11" spans="1:24" ht="21" customHeight="1">
      <c r="A11" s="992"/>
      <c r="B11" s="992"/>
      <c r="C11" s="992"/>
      <c r="D11" s="992"/>
      <c r="E11" s="992"/>
      <c r="F11" s="992"/>
      <c r="G11" s="992"/>
      <c r="H11" s="992"/>
      <c r="I11" s="992"/>
      <c r="J11" s="992"/>
    </row>
    <row r="12" spans="1:24" ht="15">
      <c r="A12" s="198"/>
      <c r="B12" s="198"/>
      <c r="C12" s="198"/>
      <c r="D12" s="198"/>
      <c r="E12" s="198"/>
      <c r="F12" s="198"/>
      <c r="G12" s="198"/>
      <c r="H12" s="198"/>
      <c r="I12" s="198"/>
      <c r="J12" s="198"/>
      <c r="P12" s="190">
        <v>63890</v>
      </c>
      <c r="S12" s="190" t="s">
        <v>450</v>
      </c>
      <c r="T12" s="190">
        <v>1589588.73</v>
      </c>
    </row>
    <row r="13" spans="1:24" ht="15">
      <c r="A13" s="194"/>
      <c r="B13" s="993"/>
      <c r="C13" s="993"/>
      <c r="D13" s="993"/>
      <c r="E13" s="994"/>
      <c r="F13" s="994"/>
      <c r="G13" s="199"/>
      <c r="H13" s="995"/>
      <c r="I13" s="995"/>
      <c r="J13" s="194"/>
      <c r="P13" s="190">
        <v>48853</v>
      </c>
      <c r="S13" s="190" t="s">
        <v>451</v>
      </c>
      <c r="T13" s="190">
        <v>179329.59</v>
      </c>
      <c r="W13" s="190">
        <f>T13+T14+T15</f>
        <v>386690.94999999995</v>
      </c>
      <c r="X13" s="190">
        <f>W13/T12</f>
        <v>0.24326477830526638</v>
      </c>
    </row>
    <row r="14" spans="1:24" ht="15">
      <c r="A14" s="200" t="s">
        <v>387</v>
      </c>
      <c r="B14" s="200"/>
      <c r="C14" s="200"/>
      <c r="D14" s="200"/>
      <c r="E14" s="200"/>
      <c r="F14" s="200"/>
      <c r="G14" s="200"/>
      <c r="H14" s="200"/>
      <c r="I14" s="200"/>
      <c r="J14" s="194"/>
      <c r="P14" s="190">
        <f>P12/P13</f>
        <v>1.3078009538820543</v>
      </c>
      <c r="S14" s="190" t="s">
        <v>452</v>
      </c>
      <c r="T14" s="190">
        <v>158111.35999999999</v>
      </c>
    </row>
    <row r="15" spans="1:24" ht="15">
      <c r="A15" s="194"/>
      <c r="B15" s="194"/>
      <c r="C15" s="194"/>
      <c r="D15" s="194"/>
      <c r="E15" s="194"/>
      <c r="F15" s="194"/>
      <c r="G15" s="194"/>
      <c r="H15" s="194"/>
      <c r="I15" s="194"/>
      <c r="J15" s="194"/>
      <c r="S15" s="190" t="s">
        <v>453</v>
      </c>
      <c r="T15" s="190">
        <v>49250</v>
      </c>
    </row>
    <row r="16" spans="1:24" ht="15">
      <c r="A16" s="194"/>
      <c r="B16" s="201" t="s">
        <v>196</v>
      </c>
      <c r="C16" s="202"/>
      <c r="D16" s="203">
        <f>INPUT!B35</f>
        <v>10490</v>
      </c>
      <c r="E16" s="204" t="str">
        <f>" sf         @"</f>
        <v xml:space="preserve"> sf         @</v>
      </c>
      <c r="F16" s="205">
        <v>2.4500000000000002</v>
      </c>
      <c r="G16" s="206" t="s">
        <v>197</v>
      </c>
      <c r="H16" s="224"/>
      <c r="I16" s="207">
        <f>(D16*F16)*12</f>
        <v>308406.00000000006</v>
      </c>
      <c r="J16" s="194"/>
      <c r="K16" s="190">
        <v>95818</v>
      </c>
      <c r="T16" s="190">
        <f>T12-T13-T14-T15</f>
        <v>1202897.7799999998</v>
      </c>
    </row>
    <row r="17" spans="1:15" ht="15">
      <c r="A17" s="194"/>
      <c r="B17" s="208" t="s">
        <v>198</v>
      </c>
      <c r="C17" s="194"/>
      <c r="D17" s="194"/>
      <c r="E17" s="209" t="s">
        <v>199</v>
      </c>
      <c r="F17" s="210">
        <v>0</v>
      </c>
      <c r="G17" s="194"/>
      <c r="I17" s="211">
        <f>ROUND(I16*F17,0)</f>
        <v>0</v>
      </c>
      <c r="J17" s="194"/>
      <c r="N17" s="190" t="s">
        <v>480</v>
      </c>
      <c r="O17" s="190">
        <v>768320.74</v>
      </c>
    </row>
    <row r="18" spans="1:15" ht="15">
      <c r="A18" s="194"/>
      <c r="B18" s="212" t="s">
        <v>200</v>
      </c>
      <c r="C18" s="194"/>
      <c r="D18" s="194"/>
      <c r="E18" s="194"/>
      <c r="F18" s="194"/>
      <c r="G18" s="194"/>
      <c r="H18" s="194"/>
      <c r="I18" s="213">
        <f>I16-I17</f>
        <v>308406.00000000006</v>
      </c>
      <c r="J18" s="194"/>
    </row>
    <row r="19" spans="1:15" ht="15">
      <c r="A19" s="194"/>
      <c r="B19" s="208" t="s">
        <v>201</v>
      </c>
      <c r="C19" s="194"/>
      <c r="D19" s="194"/>
      <c r="E19" s="209" t="s">
        <v>199</v>
      </c>
      <c r="F19" s="214">
        <v>0.17</v>
      </c>
      <c r="G19" s="194"/>
      <c r="H19" s="195"/>
      <c r="I19" s="211">
        <f>I18*F19</f>
        <v>52429.020000000011</v>
      </c>
      <c r="J19" s="194"/>
    </row>
    <row r="20" spans="1:15" ht="15">
      <c r="A20" s="194"/>
      <c r="B20" s="212" t="s">
        <v>202</v>
      </c>
      <c r="C20" s="194"/>
      <c r="D20" s="194"/>
      <c r="E20" s="194"/>
      <c r="F20" s="194"/>
      <c r="G20" s="194"/>
      <c r="H20" s="194"/>
      <c r="I20" s="213">
        <f>I18-I19</f>
        <v>255976.98000000004</v>
      </c>
      <c r="J20" s="194"/>
    </row>
    <row r="21" spans="1:15" ht="15">
      <c r="A21" s="194"/>
      <c r="B21" s="212" t="s">
        <v>203</v>
      </c>
      <c r="C21" s="194"/>
      <c r="D21" s="194"/>
      <c r="E21" s="209" t="s">
        <v>199</v>
      </c>
      <c r="F21" s="214">
        <v>8.1199999999999994E-2</v>
      </c>
      <c r="G21" s="194"/>
      <c r="H21" s="194"/>
      <c r="I21" s="213">
        <f>I20/F21</f>
        <v>3152425.862068966</v>
      </c>
      <c r="J21" s="194"/>
    </row>
    <row r="22" spans="1:15" ht="15">
      <c r="A22" s="194"/>
      <c r="B22" s="774" t="s">
        <v>481</v>
      </c>
      <c r="C22" s="216"/>
      <c r="D22" s="216"/>
      <c r="E22" s="217"/>
      <c r="F22" s="218"/>
      <c r="G22" s="216"/>
      <c r="H22" s="216"/>
      <c r="I22" s="775">
        <f>'Lease Up'!I3</f>
        <v>0</v>
      </c>
    </row>
    <row r="23" spans="1:15" ht="15">
      <c r="A23" s="194"/>
      <c r="B23" s="212"/>
      <c r="C23" s="194"/>
      <c r="D23" s="194"/>
      <c r="E23" s="194"/>
      <c r="F23" s="194"/>
      <c r="G23" s="194"/>
      <c r="H23" s="194"/>
      <c r="I23" s="219"/>
      <c r="J23" s="200"/>
    </row>
    <row r="24" spans="1:15" ht="15">
      <c r="A24" s="194"/>
      <c r="B24" s="221" t="s">
        <v>205</v>
      </c>
      <c r="C24" s="222"/>
      <c r="D24" s="222"/>
      <c r="E24" s="222"/>
      <c r="F24" s="222"/>
      <c r="G24" s="222"/>
      <c r="H24" s="222"/>
      <c r="I24" s="223">
        <f>I21-I23</f>
        <v>3152425.862068966</v>
      </c>
      <c r="J24" s="194"/>
    </row>
    <row r="25" spans="1:15" ht="15">
      <c r="A25" s="194"/>
      <c r="B25" s="194"/>
      <c r="C25" s="194"/>
      <c r="D25" s="194"/>
      <c r="E25" s="194"/>
      <c r="F25" s="194"/>
      <c r="G25" s="194"/>
      <c r="H25" s="194"/>
      <c r="I25" s="194"/>
      <c r="J25" s="194"/>
    </row>
    <row r="26" spans="1:15" ht="21">
      <c r="A26" s="984" t="s">
        <v>206</v>
      </c>
      <c r="B26" s="985"/>
      <c r="C26" s="985"/>
      <c r="D26" s="985"/>
      <c r="E26" s="985"/>
      <c r="F26" s="985"/>
      <c r="G26" s="985"/>
      <c r="H26" s="985"/>
      <c r="I26" s="986">
        <f>ROUND(I24,-3)</f>
        <v>3152000</v>
      </c>
      <c r="J26" s="987"/>
    </row>
    <row r="27" spans="1:15">
      <c r="A27" s="225"/>
      <c r="B27" s="225"/>
      <c r="C27" s="225"/>
      <c r="D27" s="225"/>
      <c r="E27" s="225"/>
      <c r="F27" s="225"/>
      <c r="G27" s="225"/>
      <c r="H27" s="225"/>
      <c r="I27" s="225"/>
      <c r="J27" s="225"/>
      <c r="K27" s="225"/>
      <c r="L27" s="225"/>
      <c r="M27" s="225"/>
      <c r="N27" s="225"/>
    </row>
    <row r="28" spans="1:15">
      <c r="A28" s="225"/>
      <c r="B28" s="225"/>
      <c r="C28" s="225"/>
      <c r="D28" s="225"/>
      <c r="E28" s="225"/>
      <c r="F28" s="225"/>
      <c r="G28" s="225"/>
      <c r="H28" s="225"/>
      <c r="I28" s="225"/>
      <c r="J28" s="225"/>
      <c r="K28" s="225"/>
      <c r="L28" s="225"/>
      <c r="M28" s="225"/>
      <c r="N28" s="225"/>
    </row>
  </sheetData>
  <mergeCells count="9">
    <mergeCell ref="A26:H26"/>
    <mergeCell ref="I26:J26"/>
    <mergeCell ref="A1:J1"/>
    <mergeCell ref="A3:J5"/>
    <mergeCell ref="A6:J9"/>
    <mergeCell ref="A10:J11"/>
    <mergeCell ref="B13:D13"/>
    <mergeCell ref="E13:F13"/>
    <mergeCell ref="H13:I13"/>
  </mergeCells>
  <pageMargins left="0.53125" right="0.45833333333333331" top="0.29666666666666669" bottom="0.29666666666666669" header="0.5" footer="0.5"/>
  <pageSetup scale="84"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9F0B19-045D-4445-8EDF-3C9676E1BC84}">
  <sheetPr codeName="Sheet50">
    <tabColor theme="9" tint="-0.249977111117893"/>
  </sheetPr>
  <dimension ref="A1:J35"/>
  <sheetViews>
    <sheetView showGridLines="0" view="pageLayout" zoomScale="85" zoomScaleNormal="100" zoomScaleSheetLayoutView="160" zoomScalePageLayoutView="85" workbookViewId="0">
      <selection activeCell="N34" sqref="N34"/>
    </sheetView>
  </sheetViews>
  <sheetFormatPr defaultColWidth="9.109375" defaultRowHeight="13.2"/>
  <cols>
    <col min="1" max="1" width="6" style="190" customWidth="1"/>
    <col min="2" max="2" width="8.6640625" style="190" customWidth="1"/>
    <col min="3" max="3" width="17.33203125" style="190" customWidth="1"/>
    <col min="4" max="4" width="12" style="190" customWidth="1"/>
    <col min="5" max="5" width="9.44140625" style="190" customWidth="1"/>
    <col min="6" max="6" width="9.33203125" style="190" bestFit="1" customWidth="1"/>
    <col min="7" max="7" width="8.33203125" style="190" customWidth="1"/>
    <col min="8" max="8" width="14.88671875" style="190" customWidth="1"/>
    <col min="9" max="9" width="13.109375" style="190" customWidth="1"/>
    <col min="10" max="16384" width="9.109375" style="190"/>
  </cols>
  <sheetData>
    <row r="1" spans="1:10" ht="21">
      <c r="A1" s="1002" t="s">
        <v>194</v>
      </c>
      <c r="B1" s="1003"/>
      <c r="C1" s="1003"/>
      <c r="D1" s="1003"/>
      <c r="E1" s="1003"/>
      <c r="F1" s="1003"/>
      <c r="G1" s="1003"/>
      <c r="H1" s="1003"/>
      <c r="I1" s="1003"/>
      <c r="J1" s="1003"/>
    </row>
    <row r="3" spans="1:10" ht="13.65" customHeight="1">
      <c r="A3" s="992" t="str">
        <f>"The Rental Comparables included in this packet are used to determine market rent for the subject property as of the "&amp;TEXT(INPUT!B5,"mm/dd/yyyy")&amp;" effective date."</f>
        <v>The Rental Comparables included in this packet are used to determine market rent for the subject property as of the 01/09/2026 effective date.</v>
      </c>
      <c r="B3" s="992"/>
      <c r="C3" s="992"/>
      <c r="D3" s="992"/>
      <c r="E3" s="992"/>
      <c r="F3" s="992"/>
      <c r="G3" s="992"/>
      <c r="H3" s="992"/>
      <c r="I3" s="992"/>
      <c r="J3" s="992"/>
    </row>
    <row r="4" spans="1:10" ht="13.65" customHeight="1">
      <c r="A4" s="992"/>
      <c r="B4" s="992"/>
      <c r="C4" s="992"/>
      <c r="D4" s="992"/>
      <c r="E4" s="992"/>
      <c r="F4" s="992"/>
      <c r="G4" s="992"/>
      <c r="H4" s="992"/>
      <c r="I4" s="992"/>
      <c r="J4" s="992"/>
    </row>
    <row r="5" spans="1:10" ht="13.65" customHeight="1">
      <c r="A5" s="1004"/>
      <c r="B5" s="1004"/>
      <c r="C5" s="1004"/>
      <c r="D5" s="1004"/>
      <c r="E5" s="1004"/>
      <c r="F5" s="1004"/>
      <c r="G5" s="1004"/>
      <c r="H5" s="1004"/>
      <c r="I5" s="1004"/>
      <c r="J5" s="1004"/>
    </row>
    <row r="6" spans="1:10" ht="25.2" customHeight="1">
      <c r="A6" s="1004"/>
      <c r="B6" s="1004"/>
      <c r="C6" s="1004"/>
      <c r="D6" s="1004"/>
      <c r="E6" s="1004"/>
      <c r="F6" s="1004"/>
      <c r="G6" s="1004"/>
      <c r="H6" s="1004"/>
      <c r="I6" s="1004"/>
      <c r="J6" s="1004"/>
    </row>
    <row r="7" spans="1:10" ht="13.65" customHeight="1">
      <c r="A7" s="191"/>
      <c r="B7" s="192"/>
      <c r="C7" s="192"/>
      <c r="D7" s="192"/>
      <c r="E7" s="193"/>
      <c r="F7" s="194"/>
      <c r="G7" s="194"/>
      <c r="H7" s="194"/>
      <c r="I7" s="194"/>
      <c r="J7" s="194"/>
    </row>
    <row r="8" spans="1:10">
      <c r="A8" s="990" t="str">
        <f>"After considering the attached lease comparables for time, age, condition, and location, the market rent for the subject property is estimated at "&amp;TEXT(INPUT!B46,"$###.00")&amp;" per square foot on a "&amp;INPUT!B45&amp;" basis."</f>
        <v>After considering the attached lease comparables for time, age, condition, and location, the market rent for the subject property is estimated at $1.50 per square foot on a NNN basis.</v>
      </c>
      <c r="B8" s="990"/>
      <c r="C8" s="990"/>
      <c r="D8" s="990"/>
      <c r="E8" s="990"/>
      <c r="F8" s="990"/>
      <c r="G8" s="990"/>
      <c r="H8" s="990"/>
      <c r="I8" s="990"/>
      <c r="J8" s="990"/>
    </row>
    <row r="9" spans="1:10">
      <c r="A9" s="990"/>
      <c r="B9" s="990"/>
      <c r="C9" s="990"/>
      <c r="D9" s="990"/>
      <c r="E9" s="990"/>
      <c r="F9" s="990"/>
      <c r="G9" s="990"/>
      <c r="H9" s="990"/>
      <c r="I9" s="990"/>
      <c r="J9" s="990"/>
    </row>
    <row r="10" spans="1:10">
      <c r="A10" s="990"/>
      <c r="B10" s="990"/>
      <c r="C10" s="990"/>
      <c r="D10" s="990"/>
      <c r="E10" s="990"/>
      <c r="F10" s="990"/>
      <c r="G10" s="990"/>
      <c r="H10" s="990"/>
      <c r="I10" s="990"/>
      <c r="J10" s="990"/>
    </row>
    <row r="11" spans="1:10">
      <c r="A11" s="990"/>
      <c r="B11" s="990"/>
      <c r="C11" s="990"/>
      <c r="D11" s="990"/>
      <c r="E11" s="990"/>
      <c r="F11" s="990"/>
      <c r="G11" s="990"/>
      <c r="H11" s="990"/>
      <c r="I11" s="990"/>
      <c r="J11" s="990"/>
    </row>
    <row r="12" spans="1:10" ht="15" hidden="1">
      <c r="A12" s="195"/>
      <c r="B12" s="196"/>
      <c r="C12" s="196"/>
      <c r="D12" s="196"/>
      <c r="E12" s="197"/>
      <c r="F12" s="194"/>
      <c r="G12" s="194"/>
      <c r="H12" s="194"/>
      <c r="I12" s="194"/>
      <c r="J12" s="194"/>
    </row>
    <row r="13" spans="1:10">
      <c r="A13" s="991" t="str">
        <f>"Vacancy and collection losses are estimated at "&amp;TEXT(INPUT!B47,"0%")&amp;" of PGI. Income potential is estimated on a "&amp;INPUT!B45&amp;" rent basis. Therefore expenses are estimated at "&amp;TEXT(INPUT!B48,"0%")&amp;" of EGI."</f>
        <v>Vacancy and collection losses are estimated at 5% of PGI. Income potential is estimated on a NNN rent basis. Therefore expenses are estimated at 5% of EGI.</v>
      </c>
      <c r="B13" s="991"/>
      <c r="C13" s="991"/>
      <c r="D13" s="991"/>
      <c r="E13" s="991"/>
      <c r="F13" s="991"/>
      <c r="G13" s="991"/>
      <c r="H13" s="991"/>
      <c r="I13" s="991"/>
      <c r="J13" s="991"/>
    </row>
    <row r="14" spans="1:10">
      <c r="A14" s="991"/>
      <c r="B14" s="991"/>
      <c r="C14" s="991"/>
      <c r="D14" s="991"/>
      <c r="E14" s="991"/>
      <c r="F14" s="991"/>
      <c r="G14" s="991"/>
      <c r="H14" s="991"/>
      <c r="I14" s="991"/>
      <c r="J14" s="991"/>
    </row>
    <row r="15" spans="1:10">
      <c r="A15" s="991"/>
      <c r="B15" s="991"/>
      <c r="C15" s="991"/>
      <c r="D15" s="991"/>
      <c r="E15" s="991"/>
      <c r="F15" s="991"/>
      <c r="G15" s="991"/>
      <c r="H15" s="991"/>
      <c r="I15" s="991"/>
      <c r="J15" s="991"/>
    </row>
    <row r="16" spans="1:10">
      <c r="A16" s="991"/>
      <c r="B16" s="991"/>
      <c r="C16" s="991"/>
      <c r="D16" s="991"/>
      <c r="E16" s="991"/>
      <c r="F16" s="991"/>
      <c r="G16" s="991"/>
      <c r="H16" s="991"/>
      <c r="I16" s="991"/>
      <c r="J16" s="991"/>
    </row>
    <row r="17" spans="1:10">
      <c r="A17" s="992" t="str">
        <f>"The capitalization rate of " &amp; TEXT(INPUT!B51, "0.00%") &amp; " is based upon sales of properties comparable to the subject. The local tax rate is included in the capitalization rate for all rent types except for triple net."</f>
        <v>The capitalization rate of 5.25% is based upon sales of properties comparable to the subject. The local tax rate is included in the capitalization rate for all rent types except for triple net.</v>
      </c>
      <c r="B17" s="992"/>
      <c r="C17" s="992"/>
      <c r="D17" s="992"/>
      <c r="E17" s="992"/>
      <c r="F17" s="992"/>
      <c r="G17" s="992"/>
      <c r="H17" s="992"/>
      <c r="I17" s="992"/>
      <c r="J17" s="992"/>
    </row>
    <row r="18" spans="1:10" ht="18" customHeight="1">
      <c r="A18" s="992"/>
      <c r="B18" s="992"/>
      <c r="C18" s="992"/>
      <c r="D18" s="992"/>
      <c r="E18" s="992"/>
      <c r="F18" s="992"/>
      <c r="G18" s="992"/>
      <c r="H18" s="992"/>
      <c r="I18" s="992"/>
      <c r="J18" s="992"/>
    </row>
    <row r="19" spans="1:10" ht="15">
      <c r="A19" s="198"/>
      <c r="B19" s="198"/>
      <c r="C19" s="198"/>
      <c r="D19" s="198"/>
      <c r="E19" s="198"/>
      <c r="F19" s="198"/>
      <c r="G19" s="198"/>
      <c r="H19" s="198"/>
      <c r="I19" s="198"/>
      <c r="J19" s="198"/>
    </row>
    <row r="20" spans="1:10" ht="15">
      <c r="A20" s="194"/>
      <c r="B20" s="993"/>
      <c r="C20" s="993"/>
      <c r="D20" s="993"/>
      <c r="E20" s="994"/>
      <c r="F20" s="994"/>
      <c r="G20" s="199"/>
      <c r="H20" s="995"/>
      <c r="I20" s="995"/>
      <c r="J20" s="194"/>
    </row>
    <row r="21" spans="1:10" ht="15">
      <c r="A21" s="200" t="s">
        <v>195</v>
      </c>
      <c r="B21" s="200"/>
      <c r="C21" s="200"/>
      <c r="D21" s="200"/>
      <c r="E21" s="200"/>
      <c r="F21" s="200"/>
      <c r="G21" s="200"/>
      <c r="H21" s="200"/>
      <c r="I21" s="200"/>
      <c r="J21" s="194"/>
    </row>
    <row r="22" spans="1:10" ht="15">
      <c r="A22" s="194"/>
      <c r="B22" s="194"/>
      <c r="C22" s="194"/>
      <c r="D22" s="194"/>
      <c r="E22" s="194"/>
      <c r="F22" s="194"/>
      <c r="G22" s="194"/>
      <c r="H22" s="194"/>
      <c r="I22" s="194"/>
      <c r="J22" s="194"/>
    </row>
    <row r="23" spans="1:10" ht="15">
      <c r="A23" s="194"/>
      <c r="B23" s="201" t="s">
        <v>196</v>
      </c>
      <c r="C23" s="202"/>
      <c r="D23" s="203">
        <f>INPUT!B35</f>
        <v>10490</v>
      </c>
      <c r="E23" s="204" t="str">
        <f>" sf         @"</f>
        <v xml:space="preserve"> sf         @</v>
      </c>
      <c r="F23" s="205">
        <f>INPUT!B46</f>
        <v>1.5</v>
      </c>
      <c r="G23" s="206" t="s">
        <v>197</v>
      </c>
      <c r="H23" s="202"/>
      <c r="I23" s="207">
        <f>(F23*12)*D23</f>
        <v>188820</v>
      </c>
      <c r="J23" s="194"/>
    </row>
    <row r="24" spans="1:10" ht="15">
      <c r="A24" s="194"/>
      <c r="B24" s="208" t="s">
        <v>198</v>
      </c>
      <c r="C24" s="194"/>
      <c r="D24" s="194"/>
      <c r="E24" s="209" t="s">
        <v>199</v>
      </c>
      <c r="F24" s="210">
        <f>INPUT!B47</f>
        <v>0.05</v>
      </c>
      <c r="G24" s="194"/>
      <c r="H24" s="194"/>
      <c r="I24" s="211">
        <f>ROUND(I23*F24,0)</f>
        <v>9441</v>
      </c>
      <c r="J24" s="194"/>
    </row>
    <row r="25" spans="1:10" ht="15">
      <c r="A25" s="194"/>
      <c r="B25" s="212" t="s">
        <v>200</v>
      </c>
      <c r="C25" s="194"/>
      <c r="D25" s="194"/>
      <c r="E25" s="194"/>
      <c r="F25" s="194"/>
      <c r="G25" s="194"/>
      <c r="H25" s="194"/>
      <c r="I25" s="213">
        <f>I23-I24</f>
        <v>179379</v>
      </c>
      <c r="J25" s="194"/>
    </row>
    <row r="26" spans="1:10" ht="15">
      <c r="A26" s="194"/>
      <c r="B26" s="208" t="s">
        <v>201</v>
      </c>
      <c r="C26" s="194"/>
      <c r="D26" s="194"/>
      <c r="E26" s="209" t="s">
        <v>199</v>
      </c>
      <c r="F26" s="210">
        <f>INPUT!B48</f>
        <v>0.05</v>
      </c>
      <c r="G26" s="194"/>
      <c r="H26" s="194"/>
      <c r="I26" s="211">
        <f>ROUND(I25*F26,0)</f>
        <v>8969</v>
      </c>
      <c r="J26" s="194"/>
    </row>
    <row r="27" spans="1:10" ht="15">
      <c r="A27" s="194"/>
      <c r="B27" s="212" t="s">
        <v>202</v>
      </c>
      <c r="C27" s="194"/>
      <c r="D27" s="194"/>
      <c r="E27" s="194"/>
      <c r="F27" s="194"/>
      <c r="G27" s="194"/>
      <c r="H27" s="194"/>
      <c r="I27" s="213">
        <f>I25-I26</f>
        <v>170410</v>
      </c>
      <c r="J27" s="194"/>
    </row>
    <row r="28" spans="1:10" ht="15">
      <c r="A28" s="194"/>
      <c r="B28" s="212" t="s">
        <v>203</v>
      </c>
      <c r="C28" s="194"/>
      <c r="D28" s="194"/>
      <c r="E28" s="209" t="s">
        <v>199</v>
      </c>
      <c r="F28" s="214">
        <f>INPUT!B51</f>
        <v>5.2499999999999998E-2</v>
      </c>
      <c r="G28" s="194"/>
      <c r="H28" s="194"/>
      <c r="I28" s="213">
        <f>I27/F28</f>
        <v>3245904.7619047621</v>
      </c>
      <c r="J28" s="194"/>
    </row>
    <row r="29" spans="1:10" ht="15">
      <c r="A29" s="194"/>
      <c r="B29" s="215" t="s">
        <v>204</v>
      </c>
      <c r="C29" s="216"/>
      <c r="D29" s="216"/>
      <c r="E29" s="217"/>
      <c r="F29" s="218"/>
      <c r="G29" s="216"/>
      <c r="H29" s="216"/>
      <c r="I29" s="219">
        <v>0</v>
      </c>
      <c r="J29" s="194"/>
    </row>
    <row r="30" spans="1:10" ht="15">
      <c r="A30" s="194"/>
      <c r="B30" s="212"/>
      <c r="C30" s="194"/>
      <c r="D30" s="194"/>
      <c r="E30" s="194"/>
      <c r="F30" s="194"/>
      <c r="G30" s="194"/>
      <c r="H30" s="194"/>
      <c r="I30" s="220"/>
      <c r="J30" s="200"/>
    </row>
    <row r="31" spans="1:10" ht="15">
      <c r="A31" s="194"/>
      <c r="B31" s="221" t="s">
        <v>205</v>
      </c>
      <c r="C31" s="222"/>
      <c r="D31" s="222"/>
      <c r="E31" s="222"/>
      <c r="F31" s="222"/>
      <c r="G31" s="222"/>
      <c r="H31" s="222"/>
      <c r="I31" s="223">
        <f>I28-I29</f>
        <v>3245904.7619047621</v>
      </c>
      <c r="J31" s="194"/>
    </row>
    <row r="32" spans="1:10" ht="15">
      <c r="A32" s="194"/>
      <c r="B32" s="194"/>
      <c r="C32" s="194"/>
      <c r="D32" s="194"/>
      <c r="E32" s="194"/>
      <c r="F32" s="194"/>
      <c r="G32" s="194"/>
      <c r="H32" s="194"/>
      <c r="I32" s="194"/>
      <c r="J32" s="194"/>
    </row>
    <row r="33" spans="1:10" ht="15.6">
      <c r="A33" s="984" t="s">
        <v>206</v>
      </c>
      <c r="B33" s="985"/>
      <c r="C33" s="985"/>
      <c r="D33" s="985"/>
      <c r="E33" s="985"/>
      <c r="F33" s="985"/>
      <c r="G33" s="985"/>
      <c r="H33" s="985"/>
      <c r="I33" s="996">
        <f>ROUNDDOWN(I31,-3)</f>
        <v>3245000</v>
      </c>
      <c r="J33" s="997"/>
    </row>
    <row r="35" spans="1:10" ht="24">
      <c r="A35" s="998"/>
      <c r="B35" s="999"/>
      <c r="C35" s="999"/>
      <c r="D35" s="999"/>
      <c r="E35" s="999"/>
      <c r="F35" s="999"/>
      <c r="G35" s="999"/>
      <c r="H35" s="999"/>
      <c r="I35" s="1000"/>
      <c r="J35" s="1001"/>
    </row>
  </sheetData>
  <sheetProtection selectLockedCells="1"/>
  <mergeCells count="12">
    <mergeCell ref="A33:H33"/>
    <mergeCell ref="I33:J33"/>
    <mergeCell ref="A35:H35"/>
    <mergeCell ref="I35:J35"/>
    <mergeCell ref="A1:J1"/>
    <mergeCell ref="A3:J6"/>
    <mergeCell ref="A8:J11"/>
    <mergeCell ref="A13:J16"/>
    <mergeCell ref="A17:J18"/>
    <mergeCell ref="B20:D20"/>
    <mergeCell ref="E20:F20"/>
    <mergeCell ref="H20:I20"/>
  </mergeCells>
  <printOptions horizontalCentered="1"/>
  <pageMargins left="0.7" right="0.7" top="0.75" bottom="0.75" header="0.3" footer="0.3"/>
  <pageSetup scale="82" orientation="portrait" r:id="rId1"/>
  <headerFooter scaleWithDoc="0">
    <oddFooter>Page &amp;P of &amp;N</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2CADA-F7C3-41D9-A5F1-BA1D644AB4AE}">
  <sheetPr codeName="Sheet41">
    <pageSetUpPr fitToPage="1"/>
  </sheetPr>
  <dimension ref="A1:Q86"/>
  <sheetViews>
    <sheetView showGridLines="0" showWhiteSpace="0" view="pageLayout" zoomScale="115" zoomScaleNormal="100" zoomScalePageLayoutView="115" workbookViewId="0">
      <selection activeCell="J10" sqref="J10"/>
    </sheetView>
  </sheetViews>
  <sheetFormatPr defaultRowHeight="13.2"/>
  <cols>
    <col min="1" max="2" width="9.109375" style="543"/>
    <col min="3" max="3" width="12.6640625" style="543" customWidth="1"/>
    <col min="4" max="15" width="8.109375" style="543" customWidth="1"/>
    <col min="16" max="16" width="9.33203125" style="543" customWidth="1"/>
    <col min="17" max="258" width="9.109375" style="543"/>
    <col min="259" max="259" width="12.6640625" style="543" customWidth="1"/>
    <col min="260" max="271" width="8.109375" style="543" customWidth="1"/>
    <col min="272" max="272" width="9.33203125" style="543" bestFit="1" customWidth="1"/>
    <col min="273" max="514" width="9.109375" style="543"/>
    <col min="515" max="515" width="12.6640625" style="543" customWidth="1"/>
    <col min="516" max="527" width="8.109375" style="543" customWidth="1"/>
    <col min="528" max="528" width="9.33203125" style="543" bestFit="1" customWidth="1"/>
    <col min="529" max="770" width="9.109375" style="543"/>
    <col min="771" max="771" width="12.6640625" style="543" customWidth="1"/>
    <col min="772" max="783" width="8.109375" style="543" customWidth="1"/>
    <col min="784" max="784" width="9.33203125" style="543" bestFit="1" customWidth="1"/>
    <col min="785" max="1026" width="9.109375" style="543"/>
    <col min="1027" max="1027" width="12.6640625" style="543" customWidth="1"/>
    <col min="1028" max="1039" width="8.109375" style="543" customWidth="1"/>
    <col min="1040" max="1040" width="9.33203125" style="543" bestFit="1" customWidth="1"/>
    <col min="1041" max="1282" width="9.109375" style="543"/>
    <col min="1283" max="1283" width="12.6640625" style="543" customWidth="1"/>
    <col min="1284" max="1295" width="8.109375" style="543" customWidth="1"/>
    <col min="1296" max="1296" width="9.33203125" style="543" bestFit="1" customWidth="1"/>
    <col min="1297" max="1538" width="9.109375" style="543"/>
    <col min="1539" max="1539" width="12.6640625" style="543" customWidth="1"/>
    <col min="1540" max="1551" width="8.109375" style="543" customWidth="1"/>
    <col min="1552" max="1552" width="9.33203125" style="543" bestFit="1" customWidth="1"/>
    <col min="1553" max="1794" width="9.109375" style="543"/>
    <col min="1795" max="1795" width="12.6640625" style="543" customWidth="1"/>
    <col min="1796" max="1807" width="8.109375" style="543" customWidth="1"/>
    <col min="1808" max="1808" width="9.33203125" style="543" bestFit="1" customWidth="1"/>
    <col min="1809" max="2050" width="9.109375" style="543"/>
    <col min="2051" max="2051" width="12.6640625" style="543" customWidth="1"/>
    <col min="2052" max="2063" width="8.109375" style="543" customWidth="1"/>
    <col min="2064" max="2064" width="9.33203125" style="543" bestFit="1" customWidth="1"/>
    <col min="2065" max="2306" width="9.109375" style="543"/>
    <col min="2307" max="2307" width="12.6640625" style="543" customWidth="1"/>
    <col min="2308" max="2319" width="8.109375" style="543" customWidth="1"/>
    <col min="2320" max="2320" width="9.33203125" style="543" bestFit="1" customWidth="1"/>
    <col min="2321" max="2562" width="9.109375" style="543"/>
    <col min="2563" max="2563" width="12.6640625" style="543" customWidth="1"/>
    <col min="2564" max="2575" width="8.109375" style="543" customWidth="1"/>
    <col min="2576" max="2576" width="9.33203125" style="543" bestFit="1" customWidth="1"/>
    <col min="2577" max="2818" width="9.109375" style="543"/>
    <col min="2819" max="2819" width="12.6640625" style="543" customWidth="1"/>
    <col min="2820" max="2831" width="8.109375" style="543" customWidth="1"/>
    <col min="2832" max="2832" width="9.33203125" style="543" bestFit="1" customWidth="1"/>
    <col min="2833" max="3074" width="9.109375" style="543"/>
    <col min="3075" max="3075" width="12.6640625" style="543" customWidth="1"/>
    <col min="3076" max="3087" width="8.109375" style="543" customWidth="1"/>
    <col min="3088" max="3088" width="9.33203125" style="543" bestFit="1" customWidth="1"/>
    <col min="3089" max="3330" width="9.109375" style="543"/>
    <col min="3331" max="3331" width="12.6640625" style="543" customWidth="1"/>
    <col min="3332" max="3343" width="8.109375" style="543" customWidth="1"/>
    <col min="3344" max="3344" width="9.33203125" style="543" bestFit="1" customWidth="1"/>
    <col min="3345" max="3586" width="9.109375" style="543"/>
    <col min="3587" max="3587" width="12.6640625" style="543" customWidth="1"/>
    <col min="3588" max="3599" width="8.109375" style="543" customWidth="1"/>
    <col min="3600" max="3600" width="9.33203125" style="543" bestFit="1" customWidth="1"/>
    <col min="3601" max="3842" width="9.109375" style="543"/>
    <col min="3843" max="3843" width="12.6640625" style="543" customWidth="1"/>
    <col min="3844" max="3855" width="8.109375" style="543" customWidth="1"/>
    <col min="3856" max="3856" width="9.33203125" style="543" bestFit="1" customWidth="1"/>
    <col min="3857" max="4098" width="9.109375" style="543"/>
    <col min="4099" max="4099" width="12.6640625" style="543" customWidth="1"/>
    <col min="4100" max="4111" width="8.109375" style="543" customWidth="1"/>
    <col min="4112" max="4112" width="9.33203125" style="543" bestFit="1" customWidth="1"/>
    <col min="4113" max="4354" width="9.109375" style="543"/>
    <col min="4355" max="4355" width="12.6640625" style="543" customWidth="1"/>
    <col min="4356" max="4367" width="8.109375" style="543" customWidth="1"/>
    <col min="4368" max="4368" width="9.33203125" style="543" bestFit="1" customWidth="1"/>
    <col min="4369" max="4610" width="9.109375" style="543"/>
    <col min="4611" max="4611" width="12.6640625" style="543" customWidth="1"/>
    <col min="4612" max="4623" width="8.109375" style="543" customWidth="1"/>
    <col min="4624" max="4624" width="9.33203125" style="543" bestFit="1" customWidth="1"/>
    <col min="4625" max="4866" width="9.109375" style="543"/>
    <col min="4867" max="4867" width="12.6640625" style="543" customWidth="1"/>
    <col min="4868" max="4879" width="8.109375" style="543" customWidth="1"/>
    <col min="4880" max="4880" width="9.33203125" style="543" bestFit="1" customWidth="1"/>
    <col min="4881" max="5122" width="9.109375" style="543"/>
    <col min="5123" max="5123" width="12.6640625" style="543" customWidth="1"/>
    <col min="5124" max="5135" width="8.109375" style="543" customWidth="1"/>
    <col min="5136" max="5136" width="9.33203125" style="543" bestFit="1" customWidth="1"/>
    <col min="5137" max="5378" width="9.109375" style="543"/>
    <col min="5379" max="5379" width="12.6640625" style="543" customWidth="1"/>
    <col min="5380" max="5391" width="8.109375" style="543" customWidth="1"/>
    <col min="5392" max="5392" width="9.33203125" style="543" bestFit="1" customWidth="1"/>
    <col min="5393" max="5634" width="9.109375" style="543"/>
    <col min="5635" max="5635" width="12.6640625" style="543" customWidth="1"/>
    <col min="5636" max="5647" width="8.109375" style="543" customWidth="1"/>
    <col min="5648" max="5648" width="9.33203125" style="543" bestFit="1" customWidth="1"/>
    <col min="5649" max="5890" width="9.109375" style="543"/>
    <col min="5891" max="5891" width="12.6640625" style="543" customWidth="1"/>
    <col min="5892" max="5903" width="8.109375" style="543" customWidth="1"/>
    <col min="5904" max="5904" width="9.33203125" style="543" bestFit="1" customWidth="1"/>
    <col min="5905" max="6146" width="9.109375" style="543"/>
    <col min="6147" max="6147" width="12.6640625" style="543" customWidth="1"/>
    <col min="6148" max="6159" width="8.109375" style="543" customWidth="1"/>
    <col min="6160" max="6160" width="9.33203125" style="543" bestFit="1" customWidth="1"/>
    <col min="6161" max="6402" width="9.109375" style="543"/>
    <col min="6403" max="6403" width="12.6640625" style="543" customWidth="1"/>
    <col min="6404" max="6415" width="8.109375" style="543" customWidth="1"/>
    <col min="6416" max="6416" width="9.33203125" style="543" bestFit="1" customWidth="1"/>
    <col min="6417" max="6658" width="9.109375" style="543"/>
    <col min="6659" max="6659" width="12.6640625" style="543" customWidth="1"/>
    <col min="6660" max="6671" width="8.109375" style="543" customWidth="1"/>
    <col min="6672" max="6672" width="9.33203125" style="543" bestFit="1" customWidth="1"/>
    <col min="6673" max="6914" width="9.109375" style="543"/>
    <col min="6915" max="6915" width="12.6640625" style="543" customWidth="1"/>
    <col min="6916" max="6927" width="8.109375" style="543" customWidth="1"/>
    <col min="6928" max="6928" width="9.33203125" style="543" bestFit="1" customWidth="1"/>
    <col min="6929" max="7170" width="9.109375" style="543"/>
    <col min="7171" max="7171" width="12.6640625" style="543" customWidth="1"/>
    <col min="7172" max="7183" width="8.109375" style="543" customWidth="1"/>
    <col min="7184" max="7184" width="9.33203125" style="543" bestFit="1" customWidth="1"/>
    <col min="7185" max="7426" width="9.109375" style="543"/>
    <col min="7427" max="7427" width="12.6640625" style="543" customWidth="1"/>
    <col min="7428" max="7439" width="8.109375" style="543" customWidth="1"/>
    <col min="7440" max="7440" width="9.33203125" style="543" bestFit="1" customWidth="1"/>
    <col min="7441" max="7682" width="9.109375" style="543"/>
    <col min="7683" max="7683" width="12.6640625" style="543" customWidth="1"/>
    <col min="7684" max="7695" width="8.109375" style="543" customWidth="1"/>
    <col min="7696" max="7696" width="9.33203125" style="543" bestFit="1" customWidth="1"/>
    <col min="7697" max="7938" width="9.109375" style="543"/>
    <col min="7939" max="7939" width="12.6640625" style="543" customWidth="1"/>
    <col min="7940" max="7951" width="8.109375" style="543" customWidth="1"/>
    <col min="7952" max="7952" width="9.33203125" style="543" bestFit="1" customWidth="1"/>
    <col min="7953" max="8194" width="9.109375" style="543"/>
    <col min="8195" max="8195" width="12.6640625" style="543" customWidth="1"/>
    <col min="8196" max="8207" width="8.109375" style="543" customWidth="1"/>
    <col min="8208" max="8208" width="9.33203125" style="543" bestFit="1" customWidth="1"/>
    <col min="8209" max="8450" width="9.109375" style="543"/>
    <col min="8451" max="8451" width="12.6640625" style="543" customWidth="1"/>
    <col min="8452" max="8463" width="8.109375" style="543" customWidth="1"/>
    <col min="8464" max="8464" width="9.33203125" style="543" bestFit="1" customWidth="1"/>
    <col min="8465" max="8706" width="9.109375" style="543"/>
    <col min="8707" max="8707" width="12.6640625" style="543" customWidth="1"/>
    <col min="8708" max="8719" width="8.109375" style="543" customWidth="1"/>
    <col min="8720" max="8720" width="9.33203125" style="543" bestFit="1" customWidth="1"/>
    <col min="8721" max="8962" width="9.109375" style="543"/>
    <col min="8963" max="8963" width="12.6640625" style="543" customWidth="1"/>
    <col min="8964" max="8975" width="8.109375" style="543" customWidth="1"/>
    <col min="8976" max="8976" width="9.33203125" style="543" bestFit="1" customWidth="1"/>
    <col min="8977" max="9218" width="9.109375" style="543"/>
    <col min="9219" max="9219" width="12.6640625" style="543" customWidth="1"/>
    <col min="9220" max="9231" width="8.109375" style="543" customWidth="1"/>
    <col min="9232" max="9232" width="9.33203125" style="543" bestFit="1" customWidth="1"/>
    <col min="9233" max="9474" width="9.109375" style="543"/>
    <col min="9475" max="9475" width="12.6640625" style="543" customWidth="1"/>
    <col min="9476" max="9487" width="8.109375" style="543" customWidth="1"/>
    <col min="9488" max="9488" width="9.33203125" style="543" bestFit="1" customWidth="1"/>
    <col min="9489" max="9730" width="9.109375" style="543"/>
    <col min="9731" max="9731" width="12.6640625" style="543" customWidth="1"/>
    <col min="9732" max="9743" width="8.109375" style="543" customWidth="1"/>
    <col min="9744" max="9744" width="9.33203125" style="543" bestFit="1" customWidth="1"/>
    <col min="9745" max="9986" width="9.109375" style="543"/>
    <col min="9987" max="9987" width="12.6640625" style="543" customWidth="1"/>
    <col min="9988" max="9999" width="8.109375" style="543" customWidth="1"/>
    <col min="10000" max="10000" width="9.33203125" style="543" bestFit="1" customWidth="1"/>
    <col min="10001" max="10242" width="9.109375" style="543"/>
    <col min="10243" max="10243" width="12.6640625" style="543" customWidth="1"/>
    <col min="10244" max="10255" width="8.109375" style="543" customWidth="1"/>
    <col min="10256" max="10256" width="9.33203125" style="543" bestFit="1" customWidth="1"/>
    <col min="10257" max="10498" width="9.109375" style="543"/>
    <col min="10499" max="10499" width="12.6640625" style="543" customWidth="1"/>
    <col min="10500" max="10511" width="8.109375" style="543" customWidth="1"/>
    <col min="10512" max="10512" width="9.33203125" style="543" bestFit="1" customWidth="1"/>
    <col min="10513" max="10754" width="9.109375" style="543"/>
    <col min="10755" max="10755" width="12.6640625" style="543" customWidth="1"/>
    <col min="10756" max="10767" width="8.109375" style="543" customWidth="1"/>
    <col min="10768" max="10768" width="9.33203125" style="543" bestFit="1" customWidth="1"/>
    <col min="10769" max="11010" width="9.109375" style="543"/>
    <col min="11011" max="11011" width="12.6640625" style="543" customWidth="1"/>
    <col min="11012" max="11023" width="8.109375" style="543" customWidth="1"/>
    <col min="11024" max="11024" width="9.33203125" style="543" bestFit="1" customWidth="1"/>
    <col min="11025" max="11266" width="9.109375" style="543"/>
    <col min="11267" max="11267" width="12.6640625" style="543" customWidth="1"/>
    <col min="11268" max="11279" width="8.109375" style="543" customWidth="1"/>
    <col min="11280" max="11280" width="9.33203125" style="543" bestFit="1" customWidth="1"/>
    <col min="11281" max="11522" width="9.109375" style="543"/>
    <col min="11523" max="11523" width="12.6640625" style="543" customWidth="1"/>
    <col min="11524" max="11535" width="8.109375" style="543" customWidth="1"/>
    <col min="11536" max="11536" width="9.33203125" style="543" bestFit="1" customWidth="1"/>
    <col min="11537" max="11778" width="9.109375" style="543"/>
    <col min="11779" max="11779" width="12.6640625" style="543" customWidth="1"/>
    <col min="11780" max="11791" width="8.109375" style="543" customWidth="1"/>
    <col min="11792" max="11792" width="9.33203125" style="543" bestFit="1" customWidth="1"/>
    <col min="11793" max="12034" width="9.109375" style="543"/>
    <col min="12035" max="12035" width="12.6640625" style="543" customWidth="1"/>
    <col min="12036" max="12047" width="8.109375" style="543" customWidth="1"/>
    <col min="12048" max="12048" width="9.33203125" style="543" bestFit="1" customWidth="1"/>
    <col min="12049" max="12290" width="9.109375" style="543"/>
    <col min="12291" max="12291" width="12.6640625" style="543" customWidth="1"/>
    <col min="12292" max="12303" width="8.109375" style="543" customWidth="1"/>
    <col min="12304" max="12304" width="9.33203125" style="543" bestFit="1" customWidth="1"/>
    <col min="12305" max="12546" width="9.109375" style="543"/>
    <col min="12547" max="12547" width="12.6640625" style="543" customWidth="1"/>
    <col min="12548" max="12559" width="8.109375" style="543" customWidth="1"/>
    <col min="12560" max="12560" width="9.33203125" style="543" bestFit="1" customWidth="1"/>
    <col min="12561" max="12802" width="9.109375" style="543"/>
    <col min="12803" max="12803" width="12.6640625" style="543" customWidth="1"/>
    <col min="12804" max="12815" width="8.109375" style="543" customWidth="1"/>
    <col min="12816" max="12816" width="9.33203125" style="543" bestFit="1" customWidth="1"/>
    <col min="12817" max="13058" width="9.109375" style="543"/>
    <col min="13059" max="13059" width="12.6640625" style="543" customWidth="1"/>
    <col min="13060" max="13071" width="8.109375" style="543" customWidth="1"/>
    <col min="13072" max="13072" width="9.33203125" style="543" bestFit="1" customWidth="1"/>
    <col min="13073" max="13314" width="9.109375" style="543"/>
    <col min="13315" max="13315" width="12.6640625" style="543" customWidth="1"/>
    <col min="13316" max="13327" width="8.109375" style="543" customWidth="1"/>
    <col min="13328" max="13328" width="9.33203125" style="543" bestFit="1" customWidth="1"/>
    <col min="13329" max="13570" width="9.109375" style="543"/>
    <col min="13571" max="13571" width="12.6640625" style="543" customWidth="1"/>
    <col min="13572" max="13583" width="8.109375" style="543" customWidth="1"/>
    <col min="13584" max="13584" width="9.33203125" style="543" bestFit="1" customWidth="1"/>
    <col min="13585" max="13826" width="9.109375" style="543"/>
    <col min="13827" max="13827" width="12.6640625" style="543" customWidth="1"/>
    <col min="13828" max="13839" width="8.109375" style="543" customWidth="1"/>
    <col min="13840" max="13840" width="9.33203125" style="543" bestFit="1" customWidth="1"/>
    <col min="13841" max="14082" width="9.109375" style="543"/>
    <col min="14083" max="14083" width="12.6640625" style="543" customWidth="1"/>
    <col min="14084" max="14095" width="8.109375" style="543" customWidth="1"/>
    <col min="14096" max="14096" width="9.33203125" style="543" bestFit="1" customWidth="1"/>
    <col min="14097" max="14338" width="9.109375" style="543"/>
    <col min="14339" max="14339" width="12.6640625" style="543" customWidth="1"/>
    <col min="14340" max="14351" width="8.109375" style="543" customWidth="1"/>
    <col min="14352" max="14352" width="9.33203125" style="543" bestFit="1" customWidth="1"/>
    <col min="14353" max="14594" width="9.109375" style="543"/>
    <col min="14595" max="14595" width="12.6640625" style="543" customWidth="1"/>
    <col min="14596" max="14607" width="8.109375" style="543" customWidth="1"/>
    <col min="14608" max="14608" width="9.33203125" style="543" bestFit="1" customWidth="1"/>
    <col min="14609" max="14850" width="9.109375" style="543"/>
    <col min="14851" max="14851" width="12.6640625" style="543" customWidth="1"/>
    <col min="14852" max="14863" width="8.109375" style="543" customWidth="1"/>
    <col min="14864" max="14864" width="9.33203125" style="543" bestFit="1" customWidth="1"/>
    <col min="14865" max="15106" width="9.109375" style="543"/>
    <col min="15107" max="15107" width="12.6640625" style="543" customWidth="1"/>
    <col min="15108" max="15119" width="8.109375" style="543" customWidth="1"/>
    <col min="15120" max="15120" width="9.33203125" style="543" bestFit="1" customWidth="1"/>
    <col min="15121" max="15362" width="9.109375" style="543"/>
    <col min="15363" max="15363" width="12.6640625" style="543" customWidth="1"/>
    <col min="15364" max="15375" width="8.109375" style="543" customWidth="1"/>
    <col min="15376" max="15376" width="9.33203125" style="543" bestFit="1" customWidth="1"/>
    <col min="15377" max="15618" width="9.109375" style="543"/>
    <col min="15619" max="15619" width="12.6640625" style="543" customWidth="1"/>
    <col min="15620" max="15631" width="8.109375" style="543" customWidth="1"/>
    <col min="15632" max="15632" width="9.33203125" style="543" bestFit="1" customWidth="1"/>
    <col min="15633" max="15874" width="9.109375" style="543"/>
    <col min="15875" max="15875" width="12.6640625" style="543" customWidth="1"/>
    <col min="15876" max="15887" width="8.109375" style="543" customWidth="1"/>
    <col min="15888" max="15888" width="9.33203125" style="543" bestFit="1" customWidth="1"/>
    <col min="15889" max="16130" width="9.109375" style="543"/>
    <col min="16131" max="16131" width="12.6640625" style="543" customWidth="1"/>
    <col min="16132" max="16143" width="8.109375" style="543" customWidth="1"/>
    <col min="16144" max="16144" width="9.33203125" style="543" bestFit="1" customWidth="1"/>
    <col min="16145" max="16384" width="9.109375" style="543"/>
  </cols>
  <sheetData>
    <row r="1" spans="1:16">
      <c r="A1" s="746" t="s">
        <v>456</v>
      </c>
      <c r="B1" s="747"/>
      <c r="C1" s="747"/>
      <c r="D1" s="747"/>
      <c r="E1" s="747"/>
      <c r="F1" s="747"/>
      <c r="G1" s="747"/>
      <c r="H1" s="747"/>
      <c r="I1" s="747"/>
      <c r="J1" s="747"/>
      <c r="K1" s="747"/>
      <c r="L1" s="747"/>
      <c r="M1" s="747"/>
      <c r="N1" s="747"/>
      <c r="O1" s="747"/>
      <c r="P1" s="748"/>
    </row>
    <row r="2" spans="1:16">
      <c r="A2" s="749"/>
      <c r="P2" s="750"/>
    </row>
    <row r="3" spans="1:16">
      <c r="A3" s="749" t="s">
        <v>70</v>
      </c>
      <c r="D3" s="751">
        <f>INPUT!B35</f>
        <v>10490</v>
      </c>
      <c r="F3" s="752" t="s">
        <v>457</v>
      </c>
      <c r="G3" s="753"/>
      <c r="H3" s="753"/>
      <c r="I3" s="773">
        <f>P42+P64+P86</f>
        <v>0</v>
      </c>
      <c r="J3" s="749"/>
      <c r="P3" s="750"/>
    </row>
    <row r="4" spans="1:16">
      <c r="A4" s="749" t="s">
        <v>458</v>
      </c>
      <c r="D4" s="751">
        <f>D3*E4</f>
        <v>9965.5</v>
      </c>
      <c r="E4" s="755">
        <v>0.95</v>
      </c>
      <c r="P4" s="750"/>
    </row>
    <row r="5" spans="1:16">
      <c r="A5" s="749" t="s">
        <v>482</v>
      </c>
      <c r="D5" s="755">
        <f>1-INPUT!B47</f>
        <v>0.95</v>
      </c>
      <c r="P5" s="750"/>
    </row>
    <row r="6" spans="1:16">
      <c r="A6" s="749" t="s">
        <v>459</v>
      </c>
      <c r="D6" s="771">
        <f>(D5*D3)-D4</f>
        <v>0</v>
      </c>
      <c r="P6" s="750"/>
    </row>
    <row r="7" spans="1:16">
      <c r="A7" s="749" t="s">
        <v>460</v>
      </c>
      <c r="D7" s="756">
        <f>E7*12</f>
        <v>28.56</v>
      </c>
      <c r="E7" s="757">
        <v>2.38</v>
      </c>
      <c r="P7" s="750"/>
    </row>
    <row r="8" spans="1:16">
      <c r="A8" s="749" t="s">
        <v>461</v>
      </c>
      <c r="D8" s="757">
        <v>0</v>
      </c>
      <c r="E8" s="758"/>
      <c r="P8" s="750"/>
    </row>
    <row r="9" spans="1:16">
      <c r="A9" s="749" t="s">
        <v>462</v>
      </c>
      <c r="D9" s="759">
        <v>0.05</v>
      </c>
      <c r="P9" s="750"/>
    </row>
    <row r="10" spans="1:16">
      <c r="A10" s="749" t="s">
        <v>463</v>
      </c>
      <c r="D10" s="754">
        <v>5</v>
      </c>
      <c r="P10" s="750"/>
    </row>
    <row r="11" spans="1:16">
      <c r="A11" s="749" t="s">
        <v>464</v>
      </c>
      <c r="D11" s="754">
        <v>12</v>
      </c>
      <c r="P11" s="750"/>
    </row>
    <row r="12" spans="1:16">
      <c r="A12" s="749" t="s">
        <v>479</v>
      </c>
      <c r="D12" s="759">
        <v>0.09</v>
      </c>
      <c r="P12" s="750"/>
    </row>
    <row r="13" spans="1:16">
      <c r="A13" s="749"/>
      <c r="D13" s="760"/>
      <c r="P13" s="750"/>
    </row>
    <row r="14" spans="1:16">
      <c r="A14" s="749"/>
      <c r="D14" s="760"/>
      <c r="P14" s="750"/>
    </row>
    <row r="15" spans="1:16">
      <c r="A15" s="749"/>
      <c r="D15" s="760"/>
      <c r="P15" s="750"/>
    </row>
    <row r="16" spans="1:16">
      <c r="A16" s="749"/>
      <c r="D16" s="760"/>
      <c r="P16" s="750"/>
    </row>
    <row r="17" spans="1:16">
      <c r="A17" s="749"/>
      <c r="D17" s="760"/>
      <c r="P17" s="750"/>
    </row>
    <row r="18" spans="1:16">
      <c r="A18" s="749"/>
      <c r="D18" s="760"/>
      <c r="P18" s="750"/>
    </row>
    <row r="19" spans="1:16">
      <c r="A19" s="749"/>
      <c r="D19" s="760"/>
      <c r="P19" s="750"/>
    </row>
    <row r="20" spans="1:16">
      <c r="A20" s="749"/>
      <c r="D20" s="760"/>
      <c r="P20" s="750"/>
    </row>
    <row r="21" spans="1:16">
      <c r="A21" s="749"/>
      <c r="D21" s="760"/>
      <c r="P21" s="750"/>
    </row>
    <row r="22" spans="1:16">
      <c r="A22" s="761" t="s">
        <v>465</v>
      </c>
      <c r="E22" s="745">
        <v>1</v>
      </c>
      <c r="F22" s="745">
        <v>2</v>
      </c>
      <c r="G22" s="745">
        <v>3</v>
      </c>
      <c r="H22" s="745">
        <v>4</v>
      </c>
      <c r="I22" s="745">
        <v>5</v>
      </c>
      <c r="J22" s="745">
        <v>6</v>
      </c>
      <c r="K22" s="745">
        <v>7</v>
      </c>
      <c r="L22" s="745">
        <v>8</v>
      </c>
      <c r="M22" s="745">
        <v>9</v>
      </c>
      <c r="N22" s="745">
        <v>10</v>
      </c>
      <c r="O22" s="745">
        <v>11</v>
      </c>
      <c r="P22" s="762">
        <v>12</v>
      </c>
    </row>
    <row r="23" spans="1:16">
      <c r="A23" s="749"/>
      <c r="P23" s="750"/>
    </row>
    <row r="24" spans="1:16">
      <c r="A24" s="749" t="s">
        <v>466</v>
      </c>
      <c r="E24" s="652">
        <f>D6</f>
        <v>0</v>
      </c>
      <c r="F24" s="652">
        <f t="shared" ref="F24:P24" si="0">IF(E24-E26&lt;=0,0,E24-E26)</f>
        <v>0</v>
      </c>
      <c r="G24" s="652">
        <f t="shared" si="0"/>
        <v>0</v>
      </c>
      <c r="H24" s="652">
        <f t="shared" si="0"/>
        <v>0</v>
      </c>
      <c r="I24" s="652">
        <f t="shared" si="0"/>
        <v>0</v>
      </c>
      <c r="J24" s="652">
        <f t="shared" si="0"/>
        <v>0</v>
      </c>
      <c r="K24" s="652">
        <f t="shared" si="0"/>
        <v>0</v>
      </c>
      <c r="L24" s="652">
        <f t="shared" si="0"/>
        <v>0</v>
      </c>
      <c r="M24" s="652">
        <f t="shared" si="0"/>
        <v>0</v>
      </c>
      <c r="N24" s="652">
        <f t="shared" si="0"/>
        <v>0</v>
      </c>
      <c r="O24" s="652">
        <f t="shared" si="0"/>
        <v>0</v>
      </c>
      <c r="P24" s="763">
        <f t="shared" si="0"/>
        <v>0</v>
      </c>
    </row>
    <row r="25" spans="1:16">
      <c r="A25" s="749"/>
      <c r="E25" s="652"/>
      <c r="F25" s="652"/>
      <c r="G25" s="652"/>
      <c r="H25" s="652"/>
      <c r="I25" s="652"/>
      <c r="J25" s="652"/>
      <c r="K25" s="652"/>
      <c r="L25" s="652"/>
      <c r="M25" s="652"/>
      <c r="N25" s="652"/>
      <c r="O25" s="652"/>
      <c r="P25" s="763"/>
    </row>
    <row r="26" spans="1:16">
      <c r="A26" s="749" t="s">
        <v>467</v>
      </c>
      <c r="E26" s="652">
        <f t="shared" ref="E26:P26" si="1">IF($D$11&gt;=E22,$D$6/$D$11,0)</f>
        <v>0</v>
      </c>
      <c r="F26" s="652">
        <f t="shared" si="1"/>
        <v>0</v>
      </c>
      <c r="G26" s="652">
        <f t="shared" si="1"/>
        <v>0</v>
      </c>
      <c r="H26" s="652">
        <f t="shared" si="1"/>
        <v>0</v>
      </c>
      <c r="I26" s="652">
        <f t="shared" si="1"/>
        <v>0</v>
      </c>
      <c r="J26" s="652">
        <f t="shared" si="1"/>
        <v>0</v>
      </c>
      <c r="K26" s="652">
        <f t="shared" si="1"/>
        <v>0</v>
      </c>
      <c r="L26" s="652">
        <f t="shared" si="1"/>
        <v>0</v>
      </c>
      <c r="M26" s="652">
        <f t="shared" si="1"/>
        <v>0</v>
      </c>
      <c r="N26" s="652">
        <f t="shared" si="1"/>
        <v>0</v>
      </c>
      <c r="O26" s="652">
        <f t="shared" si="1"/>
        <v>0</v>
      </c>
      <c r="P26" s="763">
        <f t="shared" si="1"/>
        <v>0</v>
      </c>
    </row>
    <row r="27" spans="1:16">
      <c r="A27" s="749"/>
      <c r="E27" s="652"/>
      <c r="F27" s="652"/>
      <c r="G27" s="652"/>
      <c r="H27" s="652"/>
      <c r="I27" s="652"/>
      <c r="J27" s="652"/>
      <c r="K27" s="652"/>
      <c r="L27" s="652"/>
      <c r="M27" s="652"/>
      <c r="N27" s="652"/>
      <c r="O27" s="652"/>
      <c r="P27" s="763"/>
    </row>
    <row r="28" spans="1:16">
      <c r="A28" s="749" t="s">
        <v>468</v>
      </c>
      <c r="E28" s="652">
        <f t="shared" ref="E28:P28" si="2">E24-E26</f>
        <v>0</v>
      </c>
      <c r="F28" s="652">
        <f t="shared" si="2"/>
        <v>0</v>
      </c>
      <c r="G28" s="652">
        <f t="shared" si="2"/>
        <v>0</v>
      </c>
      <c r="H28" s="652">
        <f t="shared" si="2"/>
        <v>0</v>
      </c>
      <c r="I28" s="652">
        <f t="shared" si="2"/>
        <v>0</v>
      </c>
      <c r="J28" s="652">
        <f t="shared" si="2"/>
        <v>0</v>
      </c>
      <c r="K28" s="652">
        <f t="shared" si="2"/>
        <v>0</v>
      </c>
      <c r="L28" s="652">
        <f t="shared" si="2"/>
        <v>0</v>
      </c>
      <c r="M28" s="652">
        <f t="shared" si="2"/>
        <v>0</v>
      </c>
      <c r="N28" s="652">
        <f t="shared" si="2"/>
        <v>0</v>
      </c>
      <c r="O28" s="652">
        <f t="shared" si="2"/>
        <v>0</v>
      </c>
      <c r="P28" s="763">
        <f t="shared" si="2"/>
        <v>0</v>
      </c>
    </row>
    <row r="29" spans="1:16">
      <c r="A29" s="749"/>
      <c r="E29" s="652"/>
      <c r="F29" s="652"/>
      <c r="G29" s="652"/>
      <c r="H29" s="652"/>
      <c r="I29" s="652"/>
      <c r="J29" s="652"/>
      <c r="K29" s="652"/>
      <c r="L29" s="652"/>
      <c r="M29" s="652"/>
      <c r="N29" s="652"/>
      <c r="O29" s="652"/>
      <c r="P29" s="763"/>
    </row>
    <row r="30" spans="1:16">
      <c r="A30" s="749" t="s">
        <v>469</v>
      </c>
      <c r="E30" s="652">
        <f t="shared" ref="E30:P30" si="3">(E24*$D$7)/12</f>
        <v>0</v>
      </c>
      <c r="F30" s="652">
        <f t="shared" si="3"/>
        <v>0</v>
      </c>
      <c r="G30" s="652">
        <f t="shared" si="3"/>
        <v>0</v>
      </c>
      <c r="H30" s="652">
        <f t="shared" si="3"/>
        <v>0</v>
      </c>
      <c r="I30" s="652">
        <f t="shared" si="3"/>
        <v>0</v>
      </c>
      <c r="J30" s="652">
        <f t="shared" si="3"/>
        <v>0</v>
      </c>
      <c r="K30" s="652">
        <f t="shared" si="3"/>
        <v>0</v>
      </c>
      <c r="L30" s="652">
        <f t="shared" si="3"/>
        <v>0</v>
      </c>
      <c r="M30" s="652">
        <f t="shared" si="3"/>
        <v>0</v>
      </c>
      <c r="N30" s="652">
        <f t="shared" si="3"/>
        <v>0</v>
      </c>
      <c r="O30" s="652">
        <f t="shared" si="3"/>
        <v>0</v>
      </c>
      <c r="P30" s="763">
        <f t="shared" si="3"/>
        <v>0</v>
      </c>
    </row>
    <row r="31" spans="1:16">
      <c r="A31" s="749"/>
      <c r="E31" s="652"/>
      <c r="F31" s="652"/>
      <c r="G31" s="652"/>
      <c r="H31" s="652"/>
      <c r="I31" s="652"/>
      <c r="J31" s="652"/>
      <c r="K31" s="652"/>
      <c r="L31" s="652"/>
      <c r="M31" s="652"/>
      <c r="N31" s="652"/>
      <c r="O31" s="652"/>
      <c r="P31" s="763"/>
    </row>
    <row r="32" spans="1:16">
      <c r="A32" s="749" t="s">
        <v>470</v>
      </c>
      <c r="E32" s="652">
        <f t="shared" ref="E32:P32" si="4">IF($D$11&gt;=E22,((($D$6*$D$7)*$D$10)*$D$9)/$D$11,0)</f>
        <v>0</v>
      </c>
      <c r="F32" s="652">
        <f t="shared" si="4"/>
        <v>0</v>
      </c>
      <c r="G32" s="652">
        <f t="shared" si="4"/>
        <v>0</v>
      </c>
      <c r="H32" s="652">
        <f t="shared" si="4"/>
        <v>0</v>
      </c>
      <c r="I32" s="652">
        <f t="shared" si="4"/>
        <v>0</v>
      </c>
      <c r="J32" s="652">
        <f t="shared" si="4"/>
        <v>0</v>
      </c>
      <c r="K32" s="652">
        <f t="shared" si="4"/>
        <v>0</v>
      </c>
      <c r="L32" s="652">
        <f t="shared" si="4"/>
        <v>0</v>
      </c>
      <c r="M32" s="652">
        <f t="shared" si="4"/>
        <v>0</v>
      </c>
      <c r="N32" s="652">
        <f t="shared" si="4"/>
        <v>0</v>
      </c>
      <c r="O32" s="652">
        <f t="shared" si="4"/>
        <v>0</v>
      </c>
      <c r="P32" s="763">
        <f t="shared" si="4"/>
        <v>0</v>
      </c>
    </row>
    <row r="33" spans="1:17">
      <c r="A33" s="749"/>
      <c r="E33" s="652"/>
      <c r="F33" s="652"/>
      <c r="G33" s="652"/>
      <c r="H33" s="652"/>
      <c r="I33" s="652"/>
      <c r="J33" s="652"/>
      <c r="K33" s="652"/>
      <c r="L33" s="652"/>
      <c r="M33" s="652"/>
      <c r="N33" s="652"/>
      <c r="O33" s="652"/>
      <c r="P33" s="763"/>
    </row>
    <row r="34" spans="1:17">
      <c r="A34" s="749" t="s">
        <v>471</v>
      </c>
      <c r="E34" s="652">
        <f>(D8*D6)/$D11</f>
        <v>0</v>
      </c>
      <c r="F34" s="652">
        <f t="shared" ref="F34:P34" si="5">E34</f>
        <v>0</v>
      </c>
      <c r="G34" s="652">
        <f t="shared" si="5"/>
        <v>0</v>
      </c>
      <c r="H34" s="652">
        <f t="shared" si="5"/>
        <v>0</v>
      </c>
      <c r="I34" s="652">
        <f t="shared" si="5"/>
        <v>0</v>
      </c>
      <c r="J34" s="652">
        <f t="shared" si="5"/>
        <v>0</v>
      </c>
      <c r="K34" s="652">
        <f t="shared" si="5"/>
        <v>0</v>
      </c>
      <c r="L34" s="652">
        <f t="shared" si="5"/>
        <v>0</v>
      </c>
      <c r="M34" s="652">
        <f t="shared" si="5"/>
        <v>0</v>
      </c>
      <c r="N34" s="652">
        <f t="shared" si="5"/>
        <v>0</v>
      </c>
      <c r="O34" s="652">
        <f t="shared" si="5"/>
        <v>0</v>
      </c>
      <c r="P34" s="763">
        <f t="shared" si="5"/>
        <v>0</v>
      </c>
    </row>
    <row r="35" spans="1:17">
      <c r="A35" s="749"/>
      <c r="E35" s="652"/>
      <c r="F35" s="652"/>
      <c r="G35" s="652"/>
      <c r="H35" s="652"/>
      <c r="I35" s="652"/>
      <c r="J35" s="652"/>
      <c r="K35" s="652"/>
      <c r="L35" s="652"/>
      <c r="M35" s="652"/>
      <c r="N35" s="652"/>
      <c r="O35" s="652"/>
      <c r="P35" s="763"/>
    </row>
    <row r="36" spans="1:17">
      <c r="A36" s="749" t="s">
        <v>472</v>
      </c>
      <c r="E36" s="652">
        <f t="shared" ref="E36:P36" si="6">IF($D$11&gt;=E22,SUM(E30:E34,0))</f>
        <v>0</v>
      </c>
      <c r="F36" s="652">
        <f t="shared" si="6"/>
        <v>0</v>
      </c>
      <c r="G36" s="652">
        <f t="shared" si="6"/>
        <v>0</v>
      </c>
      <c r="H36" s="652">
        <f t="shared" si="6"/>
        <v>0</v>
      </c>
      <c r="I36" s="652">
        <f t="shared" si="6"/>
        <v>0</v>
      </c>
      <c r="J36" s="652">
        <f t="shared" si="6"/>
        <v>0</v>
      </c>
      <c r="K36" s="652">
        <f t="shared" si="6"/>
        <v>0</v>
      </c>
      <c r="L36" s="652">
        <f t="shared" si="6"/>
        <v>0</v>
      </c>
      <c r="M36" s="652">
        <f t="shared" si="6"/>
        <v>0</v>
      </c>
      <c r="N36" s="652">
        <f t="shared" si="6"/>
        <v>0</v>
      </c>
      <c r="O36" s="652">
        <f t="shared" si="6"/>
        <v>0</v>
      </c>
      <c r="P36" s="763">
        <f t="shared" si="6"/>
        <v>0</v>
      </c>
    </row>
    <row r="37" spans="1:17">
      <c r="A37" s="749"/>
      <c r="P37" s="750"/>
    </row>
    <row r="38" spans="1:17">
      <c r="A38" s="749" t="s">
        <v>473</v>
      </c>
      <c r="E38" s="764">
        <f>IF(E36&gt;0,1/(1+$D$12/12),0)</f>
        <v>0</v>
      </c>
      <c r="F38" s="764">
        <f t="shared" ref="F38:P38" si="7">IF(F36&gt;0,1/(1+$D$12/12)*E38,0)</f>
        <v>0</v>
      </c>
      <c r="G38" s="764">
        <f t="shared" si="7"/>
        <v>0</v>
      </c>
      <c r="H38" s="764">
        <f t="shared" si="7"/>
        <v>0</v>
      </c>
      <c r="I38" s="764">
        <f t="shared" si="7"/>
        <v>0</v>
      </c>
      <c r="J38" s="764">
        <f t="shared" si="7"/>
        <v>0</v>
      </c>
      <c r="K38" s="764">
        <f t="shared" si="7"/>
        <v>0</v>
      </c>
      <c r="L38" s="764">
        <f t="shared" si="7"/>
        <v>0</v>
      </c>
      <c r="M38" s="764">
        <f t="shared" si="7"/>
        <v>0</v>
      </c>
      <c r="N38" s="764">
        <f t="shared" si="7"/>
        <v>0</v>
      </c>
      <c r="O38" s="764">
        <f t="shared" si="7"/>
        <v>0</v>
      </c>
      <c r="P38" s="765">
        <f t="shared" si="7"/>
        <v>0</v>
      </c>
    </row>
    <row r="39" spans="1:17">
      <c r="A39" s="749"/>
      <c r="P39" s="750"/>
    </row>
    <row r="40" spans="1:17">
      <c r="A40" s="749" t="s">
        <v>474</v>
      </c>
      <c r="E40" s="652">
        <f t="shared" ref="E40:P40" si="8">E36*E38</f>
        <v>0</v>
      </c>
      <c r="F40" s="652">
        <f t="shared" si="8"/>
        <v>0</v>
      </c>
      <c r="G40" s="652">
        <f t="shared" si="8"/>
        <v>0</v>
      </c>
      <c r="H40" s="652">
        <f t="shared" si="8"/>
        <v>0</v>
      </c>
      <c r="I40" s="652">
        <f t="shared" si="8"/>
        <v>0</v>
      </c>
      <c r="J40" s="652">
        <f t="shared" si="8"/>
        <v>0</v>
      </c>
      <c r="K40" s="652">
        <f t="shared" si="8"/>
        <v>0</v>
      </c>
      <c r="L40" s="652">
        <f t="shared" si="8"/>
        <v>0</v>
      </c>
      <c r="M40" s="652">
        <f t="shared" si="8"/>
        <v>0</v>
      </c>
      <c r="N40" s="652">
        <f t="shared" si="8"/>
        <v>0</v>
      </c>
      <c r="O40" s="652">
        <f t="shared" si="8"/>
        <v>0</v>
      </c>
      <c r="P40" s="763">
        <f t="shared" si="8"/>
        <v>0</v>
      </c>
    </row>
    <row r="41" spans="1:17" ht="13.8" thickBot="1">
      <c r="A41" s="749"/>
      <c r="P41" s="750"/>
    </row>
    <row r="42" spans="1:17" ht="13.8" thickBot="1">
      <c r="A42" s="749" t="s">
        <v>475</v>
      </c>
      <c r="P42" s="776">
        <f>SUM(E40:P40)</f>
        <v>0</v>
      </c>
    </row>
    <row r="43" spans="1:17">
      <c r="A43" s="766"/>
      <c r="B43" s="767"/>
      <c r="C43" s="767"/>
      <c r="D43" s="767"/>
      <c r="E43" s="767"/>
      <c r="F43" s="767"/>
      <c r="G43" s="767"/>
      <c r="H43" s="767"/>
      <c r="I43" s="767"/>
      <c r="J43" s="767"/>
      <c r="K43" s="767"/>
      <c r="L43" s="767"/>
      <c r="M43" s="767"/>
      <c r="N43" s="767"/>
      <c r="O43" s="767"/>
      <c r="P43" s="768"/>
    </row>
    <row r="44" spans="1:17">
      <c r="A44" s="746" t="s">
        <v>476</v>
      </c>
      <c r="B44" s="747"/>
      <c r="C44" s="747"/>
      <c r="D44" s="747"/>
      <c r="E44" s="769">
        <v>13</v>
      </c>
      <c r="F44" s="769">
        <v>14</v>
      </c>
      <c r="G44" s="769">
        <v>15</v>
      </c>
      <c r="H44" s="769">
        <v>16</v>
      </c>
      <c r="I44" s="769">
        <v>17</v>
      </c>
      <c r="J44" s="769">
        <v>18</v>
      </c>
      <c r="K44" s="769">
        <v>19</v>
      </c>
      <c r="L44" s="769">
        <v>20</v>
      </c>
      <c r="M44" s="769">
        <v>21</v>
      </c>
      <c r="N44" s="769">
        <v>22</v>
      </c>
      <c r="O44" s="769">
        <v>23</v>
      </c>
      <c r="P44" s="770">
        <v>24</v>
      </c>
    </row>
    <row r="45" spans="1:17">
      <c r="A45" s="749"/>
      <c r="P45" s="750"/>
    </row>
    <row r="46" spans="1:17">
      <c r="A46" s="749" t="s">
        <v>466</v>
      </c>
      <c r="E46" s="652">
        <f>IF(P24-P26&lt;=0,0,P24-P26)</f>
        <v>0</v>
      </c>
      <c r="F46" s="652">
        <f t="shared" ref="F46:P46" si="9">IF(E46-E48&lt;=0,0,E46-E48)</f>
        <v>0</v>
      </c>
      <c r="G46" s="652">
        <f t="shared" si="9"/>
        <v>0</v>
      </c>
      <c r="H46" s="652">
        <f t="shared" si="9"/>
        <v>0</v>
      </c>
      <c r="I46" s="652">
        <f t="shared" si="9"/>
        <v>0</v>
      </c>
      <c r="J46" s="652">
        <f t="shared" si="9"/>
        <v>0</v>
      </c>
      <c r="K46" s="652">
        <f t="shared" si="9"/>
        <v>0</v>
      </c>
      <c r="L46" s="652">
        <f t="shared" si="9"/>
        <v>0</v>
      </c>
      <c r="M46" s="652">
        <f t="shared" si="9"/>
        <v>0</v>
      </c>
      <c r="N46" s="652">
        <f t="shared" si="9"/>
        <v>0</v>
      </c>
      <c r="O46" s="652">
        <f t="shared" si="9"/>
        <v>0</v>
      </c>
      <c r="P46" s="652">
        <f t="shared" si="9"/>
        <v>0</v>
      </c>
    </row>
    <row r="47" spans="1:17">
      <c r="A47" s="749"/>
      <c r="E47" s="652"/>
      <c r="F47" s="652"/>
      <c r="G47" s="652"/>
      <c r="H47" s="652"/>
      <c r="I47" s="652"/>
      <c r="J47" s="652"/>
      <c r="K47" s="652"/>
      <c r="L47" s="652"/>
      <c r="M47" s="652"/>
      <c r="N47" s="652"/>
      <c r="O47" s="652"/>
      <c r="P47" s="763"/>
    </row>
    <row r="48" spans="1:17">
      <c r="A48" s="749" t="s">
        <v>467</v>
      </c>
      <c r="E48" s="652">
        <f t="shared" ref="E48:P48" si="10">IF($D$11&gt;=E44,$D$6/$D$11,0)</f>
        <v>0</v>
      </c>
      <c r="F48" s="652">
        <f t="shared" si="10"/>
        <v>0</v>
      </c>
      <c r="G48" s="652">
        <f t="shared" si="10"/>
        <v>0</v>
      </c>
      <c r="H48" s="652">
        <f t="shared" si="10"/>
        <v>0</v>
      </c>
      <c r="I48" s="652">
        <f t="shared" si="10"/>
        <v>0</v>
      </c>
      <c r="J48" s="652">
        <f t="shared" si="10"/>
        <v>0</v>
      </c>
      <c r="K48" s="652">
        <f t="shared" si="10"/>
        <v>0</v>
      </c>
      <c r="L48" s="652">
        <f t="shared" si="10"/>
        <v>0</v>
      </c>
      <c r="M48" s="652">
        <f t="shared" si="10"/>
        <v>0</v>
      </c>
      <c r="N48" s="652">
        <f t="shared" si="10"/>
        <v>0</v>
      </c>
      <c r="O48" s="652">
        <f t="shared" si="10"/>
        <v>0</v>
      </c>
      <c r="P48" s="652">
        <f t="shared" si="10"/>
        <v>0</v>
      </c>
      <c r="Q48" s="652"/>
    </row>
    <row r="49" spans="1:16">
      <c r="A49" s="749"/>
      <c r="E49" s="652"/>
      <c r="F49" s="652"/>
      <c r="G49" s="652"/>
      <c r="H49" s="652"/>
      <c r="I49" s="652"/>
      <c r="J49" s="652"/>
      <c r="K49" s="652"/>
      <c r="L49" s="652"/>
      <c r="M49" s="652"/>
      <c r="N49" s="652"/>
      <c r="O49" s="652"/>
      <c r="P49" s="763"/>
    </row>
    <row r="50" spans="1:16">
      <c r="A50" s="749" t="s">
        <v>468</v>
      </c>
      <c r="E50" s="652">
        <f t="shared" ref="E50:P50" si="11">E46-E48</f>
        <v>0</v>
      </c>
      <c r="F50" s="652">
        <f t="shared" si="11"/>
        <v>0</v>
      </c>
      <c r="G50" s="652">
        <f t="shared" si="11"/>
        <v>0</v>
      </c>
      <c r="H50" s="652">
        <f t="shared" si="11"/>
        <v>0</v>
      </c>
      <c r="I50" s="652">
        <f t="shared" si="11"/>
        <v>0</v>
      </c>
      <c r="J50" s="652">
        <f t="shared" si="11"/>
        <v>0</v>
      </c>
      <c r="K50" s="652">
        <f t="shared" si="11"/>
        <v>0</v>
      </c>
      <c r="L50" s="652">
        <f t="shared" si="11"/>
        <v>0</v>
      </c>
      <c r="M50" s="652">
        <f t="shared" si="11"/>
        <v>0</v>
      </c>
      <c r="N50" s="652">
        <f t="shared" si="11"/>
        <v>0</v>
      </c>
      <c r="O50" s="652">
        <f t="shared" si="11"/>
        <v>0</v>
      </c>
      <c r="P50" s="763">
        <f t="shared" si="11"/>
        <v>0</v>
      </c>
    </row>
    <row r="51" spans="1:16">
      <c r="A51" s="749"/>
      <c r="E51" s="652"/>
      <c r="F51" s="652"/>
      <c r="G51" s="652"/>
      <c r="H51" s="652"/>
      <c r="I51" s="652"/>
      <c r="J51" s="652"/>
      <c r="K51" s="652"/>
      <c r="L51" s="652"/>
      <c r="M51" s="652"/>
      <c r="N51" s="652"/>
      <c r="O51" s="652"/>
      <c r="P51" s="763"/>
    </row>
    <row r="52" spans="1:16">
      <c r="A52" s="749" t="s">
        <v>477</v>
      </c>
      <c r="E52" s="652">
        <f t="shared" ref="E52:P52" si="12">(E46*$D$7)/12</f>
        <v>0</v>
      </c>
      <c r="F52" s="652">
        <f t="shared" si="12"/>
        <v>0</v>
      </c>
      <c r="G52" s="652">
        <f t="shared" si="12"/>
        <v>0</v>
      </c>
      <c r="H52" s="652">
        <f t="shared" si="12"/>
        <v>0</v>
      </c>
      <c r="I52" s="652">
        <f t="shared" si="12"/>
        <v>0</v>
      </c>
      <c r="J52" s="652">
        <f t="shared" si="12"/>
        <v>0</v>
      </c>
      <c r="K52" s="652">
        <f t="shared" si="12"/>
        <v>0</v>
      </c>
      <c r="L52" s="652">
        <f t="shared" si="12"/>
        <v>0</v>
      </c>
      <c r="M52" s="652">
        <f t="shared" si="12"/>
        <v>0</v>
      </c>
      <c r="N52" s="652">
        <f t="shared" si="12"/>
        <v>0</v>
      </c>
      <c r="O52" s="652">
        <f t="shared" si="12"/>
        <v>0</v>
      </c>
      <c r="P52" s="763">
        <f t="shared" si="12"/>
        <v>0</v>
      </c>
    </row>
    <row r="53" spans="1:16">
      <c r="A53" s="749"/>
      <c r="E53" s="652"/>
      <c r="F53" s="652"/>
      <c r="G53" s="652"/>
      <c r="H53" s="652"/>
      <c r="I53" s="652"/>
      <c r="J53" s="652"/>
      <c r="K53" s="652"/>
      <c r="L53" s="652"/>
      <c r="M53" s="652"/>
      <c r="N53" s="652"/>
      <c r="O53" s="652"/>
      <c r="P53" s="763"/>
    </row>
    <row r="54" spans="1:16">
      <c r="A54" s="749" t="s">
        <v>470</v>
      </c>
      <c r="E54" s="652">
        <f>IF($D$11&lt;E44,0,(((($D$6*$D$7)*$D$10)*$D$9)/$D$11))</f>
        <v>0</v>
      </c>
      <c r="F54" s="652">
        <f t="shared" ref="F54:P54" si="13">IF($D$11&lt;=F44,0,(((($D$6*$D$7)*$D$10)*$D$9)/$D$11))</f>
        <v>0</v>
      </c>
      <c r="G54" s="652">
        <f t="shared" si="13"/>
        <v>0</v>
      </c>
      <c r="H54" s="652">
        <f t="shared" si="13"/>
        <v>0</v>
      </c>
      <c r="I54" s="652">
        <f t="shared" si="13"/>
        <v>0</v>
      </c>
      <c r="J54" s="652">
        <f t="shared" si="13"/>
        <v>0</v>
      </c>
      <c r="K54" s="652">
        <f t="shared" si="13"/>
        <v>0</v>
      </c>
      <c r="L54" s="652">
        <f t="shared" si="13"/>
        <v>0</v>
      </c>
      <c r="M54" s="652">
        <f t="shared" si="13"/>
        <v>0</v>
      </c>
      <c r="N54" s="652">
        <f t="shared" si="13"/>
        <v>0</v>
      </c>
      <c r="O54" s="652">
        <f t="shared" si="13"/>
        <v>0</v>
      </c>
      <c r="P54" s="652">
        <f t="shared" si="13"/>
        <v>0</v>
      </c>
    </row>
    <row r="55" spans="1:16">
      <c r="A55" s="749"/>
      <c r="E55" s="652"/>
      <c r="F55" s="652"/>
      <c r="G55" s="652"/>
      <c r="H55" s="652"/>
      <c r="I55" s="652"/>
      <c r="J55" s="652"/>
      <c r="K55" s="652"/>
      <c r="L55" s="652"/>
      <c r="M55" s="652"/>
      <c r="N55" s="652"/>
      <c r="O55" s="652"/>
      <c r="P55" s="763"/>
    </row>
    <row r="56" spans="1:16">
      <c r="A56" s="749" t="s">
        <v>471</v>
      </c>
      <c r="E56" s="652">
        <f>IF(E54=0,0,(D8*D6)/$D11)</f>
        <v>0</v>
      </c>
      <c r="F56" s="652">
        <f t="shared" ref="F56:P56" si="14">E56</f>
        <v>0</v>
      </c>
      <c r="G56" s="652">
        <f t="shared" si="14"/>
        <v>0</v>
      </c>
      <c r="H56" s="652">
        <f t="shared" si="14"/>
        <v>0</v>
      </c>
      <c r="I56" s="652">
        <f t="shared" si="14"/>
        <v>0</v>
      </c>
      <c r="J56" s="652">
        <f t="shared" si="14"/>
        <v>0</v>
      </c>
      <c r="K56" s="652">
        <f t="shared" si="14"/>
        <v>0</v>
      </c>
      <c r="L56" s="652">
        <f t="shared" si="14"/>
        <v>0</v>
      </c>
      <c r="M56" s="652">
        <f t="shared" si="14"/>
        <v>0</v>
      </c>
      <c r="N56" s="652">
        <f t="shared" si="14"/>
        <v>0</v>
      </c>
      <c r="O56" s="652">
        <f t="shared" si="14"/>
        <v>0</v>
      </c>
      <c r="P56" s="763">
        <f t="shared" si="14"/>
        <v>0</v>
      </c>
    </row>
    <row r="57" spans="1:16">
      <c r="A57" s="749"/>
      <c r="E57" s="652"/>
      <c r="F57" s="652"/>
      <c r="G57" s="652"/>
      <c r="H57" s="652"/>
      <c r="I57" s="652"/>
      <c r="J57" s="652"/>
      <c r="K57" s="652"/>
      <c r="L57" s="652"/>
      <c r="M57" s="652"/>
      <c r="N57" s="652"/>
      <c r="O57" s="652"/>
      <c r="P57" s="763"/>
    </row>
    <row r="58" spans="1:16">
      <c r="A58" s="749" t="s">
        <v>472</v>
      </c>
      <c r="E58" s="652">
        <f t="shared" ref="E58:P58" si="15">IF($D$11&gt;=E44,SUM(E52:E56),0)</f>
        <v>0</v>
      </c>
      <c r="F58" s="652">
        <f t="shared" si="15"/>
        <v>0</v>
      </c>
      <c r="G58" s="652">
        <f t="shared" si="15"/>
        <v>0</v>
      </c>
      <c r="H58" s="652">
        <f t="shared" si="15"/>
        <v>0</v>
      </c>
      <c r="I58" s="652">
        <f t="shared" si="15"/>
        <v>0</v>
      </c>
      <c r="J58" s="652">
        <f t="shared" si="15"/>
        <v>0</v>
      </c>
      <c r="K58" s="652">
        <f t="shared" si="15"/>
        <v>0</v>
      </c>
      <c r="L58" s="652">
        <f t="shared" si="15"/>
        <v>0</v>
      </c>
      <c r="M58" s="652">
        <f t="shared" si="15"/>
        <v>0</v>
      </c>
      <c r="N58" s="652">
        <f t="shared" si="15"/>
        <v>0</v>
      </c>
      <c r="O58" s="652">
        <f t="shared" si="15"/>
        <v>0</v>
      </c>
      <c r="P58" s="652">
        <f t="shared" si="15"/>
        <v>0</v>
      </c>
    </row>
    <row r="59" spans="1:16">
      <c r="A59" s="749"/>
      <c r="P59" s="750"/>
    </row>
    <row r="60" spans="1:16">
      <c r="A60" s="749" t="s">
        <v>473</v>
      </c>
      <c r="E60" s="764">
        <f>IF(E58&gt;0,1/(1+$D$12/12)*P38,0)</f>
        <v>0</v>
      </c>
      <c r="F60" s="764">
        <f t="shared" ref="F60:P60" si="16">IF(F58&gt;0,1/(1+$D$12/12)*E60,0)</f>
        <v>0</v>
      </c>
      <c r="G60" s="764">
        <f t="shared" si="16"/>
        <v>0</v>
      </c>
      <c r="H60" s="764">
        <f t="shared" si="16"/>
        <v>0</v>
      </c>
      <c r="I60" s="764">
        <f t="shared" si="16"/>
        <v>0</v>
      </c>
      <c r="J60" s="764">
        <f t="shared" si="16"/>
        <v>0</v>
      </c>
      <c r="K60" s="764">
        <f t="shared" si="16"/>
        <v>0</v>
      </c>
      <c r="L60" s="764">
        <f t="shared" si="16"/>
        <v>0</v>
      </c>
      <c r="M60" s="764">
        <f t="shared" si="16"/>
        <v>0</v>
      </c>
      <c r="N60" s="764">
        <f t="shared" si="16"/>
        <v>0</v>
      </c>
      <c r="O60" s="764">
        <f t="shared" si="16"/>
        <v>0</v>
      </c>
      <c r="P60" s="765">
        <f t="shared" si="16"/>
        <v>0</v>
      </c>
    </row>
    <row r="61" spans="1:16">
      <c r="A61" s="749"/>
      <c r="P61" s="750"/>
    </row>
    <row r="62" spans="1:16">
      <c r="A62" s="749" t="s">
        <v>474</v>
      </c>
      <c r="E62" s="652">
        <f t="shared" ref="E62:P62" si="17">E58*E60</f>
        <v>0</v>
      </c>
      <c r="F62" s="652">
        <f t="shared" si="17"/>
        <v>0</v>
      </c>
      <c r="G62" s="652">
        <f t="shared" si="17"/>
        <v>0</v>
      </c>
      <c r="H62" s="652">
        <f t="shared" si="17"/>
        <v>0</v>
      </c>
      <c r="I62" s="652">
        <f t="shared" si="17"/>
        <v>0</v>
      </c>
      <c r="J62" s="652">
        <f t="shared" si="17"/>
        <v>0</v>
      </c>
      <c r="K62" s="652">
        <f t="shared" si="17"/>
        <v>0</v>
      </c>
      <c r="L62" s="652">
        <f t="shared" si="17"/>
        <v>0</v>
      </c>
      <c r="M62" s="652">
        <f t="shared" si="17"/>
        <v>0</v>
      </c>
      <c r="N62" s="652">
        <f t="shared" si="17"/>
        <v>0</v>
      </c>
      <c r="O62" s="652">
        <f t="shared" si="17"/>
        <v>0</v>
      </c>
      <c r="P62" s="763">
        <f t="shared" si="17"/>
        <v>0</v>
      </c>
    </row>
    <row r="63" spans="1:16">
      <c r="A63" s="749"/>
      <c r="P63" s="750"/>
    </row>
    <row r="64" spans="1:16">
      <c r="A64" s="766" t="s">
        <v>475</v>
      </c>
      <c r="B64" s="767"/>
      <c r="C64" s="767"/>
      <c r="D64" s="767"/>
      <c r="E64" s="767"/>
      <c r="F64" s="767"/>
      <c r="G64" s="767"/>
      <c r="H64" s="767"/>
      <c r="I64" s="767"/>
      <c r="J64" s="767"/>
      <c r="K64" s="767"/>
      <c r="L64" s="767"/>
      <c r="M64" s="767"/>
      <c r="N64" s="767"/>
      <c r="O64" s="767"/>
      <c r="P64" s="771">
        <f>SUM(E62:P62)</f>
        <v>0</v>
      </c>
    </row>
    <row r="65" spans="1:16">
      <c r="A65" s="749"/>
      <c r="P65" s="763"/>
    </row>
    <row r="66" spans="1:16">
      <c r="A66" s="761" t="s">
        <v>478</v>
      </c>
      <c r="E66" s="745">
        <v>25</v>
      </c>
      <c r="F66" s="745">
        <v>26</v>
      </c>
      <c r="G66" s="745">
        <v>27</v>
      </c>
      <c r="H66" s="745">
        <v>28</v>
      </c>
      <c r="I66" s="745">
        <v>29</v>
      </c>
      <c r="J66" s="745">
        <v>30</v>
      </c>
      <c r="K66" s="745">
        <v>31</v>
      </c>
      <c r="L66" s="745">
        <v>32</v>
      </c>
      <c r="M66" s="745">
        <v>33</v>
      </c>
      <c r="N66" s="745">
        <v>34</v>
      </c>
      <c r="O66" s="745">
        <v>35</v>
      </c>
      <c r="P66" s="762">
        <v>36</v>
      </c>
    </row>
    <row r="67" spans="1:16">
      <c r="A67" s="749"/>
      <c r="P67" s="750"/>
    </row>
    <row r="68" spans="1:16">
      <c r="A68" s="749" t="s">
        <v>466</v>
      </c>
      <c r="E68" s="652">
        <f>IF(P46-P48&lt;=0,0,P46-P48)</f>
        <v>0</v>
      </c>
      <c r="F68" s="652">
        <f t="shared" ref="F68:P68" si="18">IF(E68-E70&lt;=0,0,E68-E70)</f>
        <v>0</v>
      </c>
      <c r="G68" s="652">
        <f t="shared" si="18"/>
        <v>0</v>
      </c>
      <c r="H68" s="652">
        <f t="shared" si="18"/>
        <v>0</v>
      </c>
      <c r="I68" s="652">
        <f t="shared" si="18"/>
        <v>0</v>
      </c>
      <c r="J68" s="652">
        <f t="shared" si="18"/>
        <v>0</v>
      </c>
      <c r="K68" s="652">
        <f t="shared" si="18"/>
        <v>0</v>
      </c>
      <c r="L68" s="652">
        <f t="shared" si="18"/>
        <v>0</v>
      </c>
      <c r="M68" s="652">
        <f t="shared" si="18"/>
        <v>0</v>
      </c>
      <c r="N68" s="652">
        <f t="shared" si="18"/>
        <v>0</v>
      </c>
      <c r="O68" s="652">
        <f t="shared" si="18"/>
        <v>0</v>
      </c>
      <c r="P68" s="652">
        <f t="shared" si="18"/>
        <v>0</v>
      </c>
    </row>
    <row r="69" spans="1:16">
      <c r="A69" s="749"/>
      <c r="E69" s="652"/>
      <c r="F69" s="652"/>
      <c r="G69" s="652"/>
      <c r="H69" s="652"/>
      <c r="I69" s="652"/>
      <c r="J69" s="652"/>
      <c r="K69" s="652"/>
      <c r="L69" s="652"/>
      <c r="M69" s="652"/>
      <c r="N69" s="652"/>
      <c r="O69" s="652"/>
      <c r="P69" s="763"/>
    </row>
    <row r="70" spans="1:16">
      <c r="A70" s="749" t="s">
        <v>467</v>
      </c>
      <c r="E70" s="652">
        <f t="shared" ref="E70:P70" si="19">IF($D$11&gt;=E66,$D$6/$D$11,0)</f>
        <v>0</v>
      </c>
      <c r="F70" s="652">
        <f t="shared" si="19"/>
        <v>0</v>
      </c>
      <c r="G70" s="652">
        <f t="shared" si="19"/>
        <v>0</v>
      </c>
      <c r="H70" s="652">
        <f t="shared" si="19"/>
        <v>0</v>
      </c>
      <c r="I70" s="652">
        <f t="shared" si="19"/>
        <v>0</v>
      </c>
      <c r="J70" s="652">
        <f t="shared" si="19"/>
        <v>0</v>
      </c>
      <c r="K70" s="652">
        <f t="shared" si="19"/>
        <v>0</v>
      </c>
      <c r="L70" s="652">
        <f t="shared" si="19"/>
        <v>0</v>
      </c>
      <c r="M70" s="652">
        <f t="shared" si="19"/>
        <v>0</v>
      </c>
      <c r="N70" s="652">
        <f t="shared" si="19"/>
        <v>0</v>
      </c>
      <c r="O70" s="652">
        <f t="shared" si="19"/>
        <v>0</v>
      </c>
      <c r="P70" s="652">
        <f t="shared" si="19"/>
        <v>0</v>
      </c>
    </row>
    <row r="71" spans="1:16">
      <c r="A71" s="749"/>
      <c r="E71" s="652"/>
      <c r="F71" s="652"/>
      <c r="G71" s="652"/>
      <c r="H71" s="652"/>
      <c r="I71" s="652"/>
      <c r="J71" s="652"/>
      <c r="K71" s="652"/>
      <c r="L71" s="652"/>
      <c r="M71" s="652"/>
      <c r="N71" s="652"/>
      <c r="O71" s="652"/>
      <c r="P71" s="763"/>
    </row>
    <row r="72" spans="1:16">
      <c r="A72" s="749" t="s">
        <v>468</v>
      </c>
      <c r="E72" s="652">
        <f t="shared" ref="E72:P72" si="20">E68-E70</f>
        <v>0</v>
      </c>
      <c r="F72" s="652">
        <f t="shared" si="20"/>
        <v>0</v>
      </c>
      <c r="G72" s="652">
        <f t="shared" si="20"/>
        <v>0</v>
      </c>
      <c r="H72" s="652">
        <f t="shared" si="20"/>
        <v>0</v>
      </c>
      <c r="I72" s="652">
        <f t="shared" si="20"/>
        <v>0</v>
      </c>
      <c r="J72" s="652">
        <f t="shared" si="20"/>
        <v>0</v>
      </c>
      <c r="K72" s="652">
        <f t="shared" si="20"/>
        <v>0</v>
      </c>
      <c r="L72" s="652">
        <f t="shared" si="20"/>
        <v>0</v>
      </c>
      <c r="M72" s="652">
        <f t="shared" si="20"/>
        <v>0</v>
      </c>
      <c r="N72" s="652">
        <f t="shared" si="20"/>
        <v>0</v>
      </c>
      <c r="O72" s="652">
        <f t="shared" si="20"/>
        <v>0</v>
      </c>
      <c r="P72" s="763">
        <f t="shared" si="20"/>
        <v>0</v>
      </c>
    </row>
    <row r="73" spans="1:16">
      <c r="A73" s="749"/>
      <c r="E73" s="652"/>
      <c r="F73" s="652"/>
      <c r="G73" s="652"/>
      <c r="H73" s="652"/>
      <c r="I73" s="652"/>
      <c r="J73" s="652"/>
      <c r="K73" s="652"/>
      <c r="L73" s="652"/>
      <c r="M73" s="652"/>
      <c r="N73" s="652"/>
      <c r="O73" s="652"/>
      <c r="P73" s="763"/>
    </row>
    <row r="74" spans="1:16">
      <c r="A74" s="749" t="s">
        <v>477</v>
      </c>
      <c r="E74" s="652">
        <f t="shared" ref="E74:P74" si="21">(E68*$D$7)/12</f>
        <v>0</v>
      </c>
      <c r="F74" s="652">
        <f t="shared" si="21"/>
        <v>0</v>
      </c>
      <c r="G74" s="652">
        <f t="shared" si="21"/>
        <v>0</v>
      </c>
      <c r="H74" s="652">
        <f t="shared" si="21"/>
        <v>0</v>
      </c>
      <c r="I74" s="652">
        <f t="shared" si="21"/>
        <v>0</v>
      </c>
      <c r="J74" s="652">
        <f t="shared" si="21"/>
        <v>0</v>
      </c>
      <c r="K74" s="652">
        <f t="shared" si="21"/>
        <v>0</v>
      </c>
      <c r="L74" s="652">
        <f t="shared" si="21"/>
        <v>0</v>
      </c>
      <c r="M74" s="652">
        <f t="shared" si="21"/>
        <v>0</v>
      </c>
      <c r="N74" s="652">
        <f t="shared" si="21"/>
        <v>0</v>
      </c>
      <c r="O74" s="652">
        <f t="shared" si="21"/>
        <v>0</v>
      </c>
      <c r="P74" s="763">
        <f t="shared" si="21"/>
        <v>0</v>
      </c>
    </row>
    <row r="75" spans="1:16">
      <c r="A75" s="749"/>
      <c r="E75" s="652"/>
      <c r="F75" s="652"/>
      <c r="G75" s="652"/>
      <c r="H75" s="652"/>
      <c r="I75" s="652"/>
      <c r="J75" s="652"/>
      <c r="K75" s="652"/>
      <c r="L75" s="652"/>
      <c r="M75" s="652"/>
      <c r="N75" s="652"/>
      <c r="O75" s="652"/>
      <c r="P75" s="763"/>
    </row>
    <row r="76" spans="1:16">
      <c r="A76" s="749" t="s">
        <v>470</v>
      </c>
      <c r="E76" s="652">
        <f t="shared" ref="E76:P76" si="22">IF($D$11&lt;E66,0,((($D$6*$D$7)*$D$10)*$D$9)/$D$11)</f>
        <v>0</v>
      </c>
      <c r="F76" s="652">
        <f t="shared" si="22"/>
        <v>0</v>
      </c>
      <c r="G76" s="652">
        <f t="shared" si="22"/>
        <v>0</v>
      </c>
      <c r="H76" s="652">
        <f t="shared" si="22"/>
        <v>0</v>
      </c>
      <c r="I76" s="652">
        <f t="shared" si="22"/>
        <v>0</v>
      </c>
      <c r="J76" s="652">
        <f t="shared" si="22"/>
        <v>0</v>
      </c>
      <c r="K76" s="652">
        <f t="shared" si="22"/>
        <v>0</v>
      </c>
      <c r="L76" s="652">
        <f t="shared" si="22"/>
        <v>0</v>
      </c>
      <c r="M76" s="652">
        <f t="shared" si="22"/>
        <v>0</v>
      </c>
      <c r="N76" s="652">
        <f t="shared" si="22"/>
        <v>0</v>
      </c>
      <c r="O76" s="652">
        <f t="shared" si="22"/>
        <v>0</v>
      </c>
      <c r="P76" s="652">
        <f t="shared" si="22"/>
        <v>0</v>
      </c>
    </row>
    <row r="77" spans="1:16">
      <c r="A77" s="749"/>
      <c r="E77" s="652"/>
      <c r="F77" s="652"/>
      <c r="G77" s="652"/>
      <c r="H77" s="652"/>
      <c r="I77" s="652"/>
      <c r="J77" s="652"/>
      <c r="K77" s="652"/>
      <c r="L77" s="652"/>
      <c r="M77" s="652"/>
      <c r="N77" s="652"/>
      <c r="O77" s="652"/>
      <c r="P77" s="763"/>
    </row>
    <row r="78" spans="1:16">
      <c r="A78" s="749" t="s">
        <v>471</v>
      </c>
      <c r="E78" s="652">
        <f>IF(E68=0,0,(D8*D6)/$D11)</f>
        <v>0</v>
      </c>
      <c r="F78" s="652">
        <f t="shared" ref="F78:P78" si="23">E78</f>
        <v>0</v>
      </c>
      <c r="G78" s="652">
        <f t="shared" si="23"/>
        <v>0</v>
      </c>
      <c r="H78" s="652">
        <f t="shared" si="23"/>
        <v>0</v>
      </c>
      <c r="I78" s="652">
        <f t="shared" si="23"/>
        <v>0</v>
      </c>
      <c r="J78" s="652">
        <f t="shared" si="23"/>
        <v>0</v>
      </c>
      <c r="K78" s="652">
        <f t="shared" si="23"/>
        <v>0</v>
      </c>
      <c r="L78" s="652">
        <f t="shared" si="23"/>
        <v>0</v>
      </c>
      <c r="M78" s="652">
        <f t="shared" si="23"/>
        <v>0</v>
      </c>
      <c r="N78" s="652">
        <f t="shared" si="23"/>
        <v>0</v>
      </c>
      <c r="O78" s="652">
        <f t="shared" si="23"/>
        <v>0</v>
      </c>
      <c r="P78" s="763">
        <f t="shared" si="23"/>
        <v>0</v>
      </c>
    </row>
    <row r="79" spans="1:16">
      <c r="A79" s="749"/>
      <c r="E79" s="652"/>
      <c r="F79" s="652"/>
      <c r="G79" s="652"/>
      <c r="H79" s="652"/>
      <c r="I79" s="652"/>
      <c r="J79" s="652"/>
      <c r="K79" s="652"/>
      <c r="L79" s="652"/>
      <c r="M79" s="652"/>
      <c r="N79" s="652"/>
      <c r="O79" s="652"/>
      <c r="P79" s="763"/>
    </row>
    <row r="80" spans="1:16">
      <c r="A80" s="749" t="s">
        <v>472</v>
      </c>
      <c r="E80" s="652">
        <f t="shared" ref="E80:P80" si="24">IF($D$11&gt;=E66,SUM(E74:E78),0)</f>
        <v>0</v>
      </c>
      <c r="F80" s="652">
        <f t="shared" si="24"/>
        <v>0</v>
      </c>
      <c r="G80" s="652">
        <f t="shared" si="24"/>
        <v>0</v>
      </c>
      <c r="H80" s="652">
        <f t="shared" si="24"/>
        <v>0</v>
      </c>
      <c r="I80" s="652">
        <f t="shared" si="24"/>
        <v>0</v>
      </c>
      <c r="J80" s="652">
        <f t="shared" si="24"/>
        <v>0</v>
      </c>
      <c r="K80" s="652">
        <f t="shared" si="24"/>
        <v>0</v>
      </c>
      <c r="L80" s="652">
        <f t="shared" si="24"/>
        <v>0</v>
      </c>
      <c r="M80" s="652">
        <f t="shared" si="24"/>
        <v>0</v>
      </c>
      <c r="N80" s="652">
        <f t="shared" si="24"/>
        <v>0</v>
      </c>
      <c r="O80" s="652">
        <f t="shared" si="24"/>
        <v>0</v>
      </c>
      <c r="P80" s="652">
        <f t="shared" si="24"/>
        <v>0</v>
      </c>
    </row>
    <row r="81" spans="1:16">
      <c r="A81" s="749"/>
      <c r="P81" s="750"/>
    </row>
    <row r="82" spans="1:16">
      <c r="A82" s="749" t="s">
        <v>473</v>
      </c>
      <c r="E82" s="764">
        <f>IF(E80&gt;0,1/(1+$D$12/12)*P60,0)</f>
        <v>0</v>
      </c>
      <c r="F82" s="764">
        <f t="shared" ref="F82:P82" si="25">IF(F80&gt;0,1/(1+$D$12/12)*E82,0)</f>
        <v>0</v>
      </c>
      <c r="G82" s="764">
        <f t="shared" si="25"/>
        <v>0</v>
      </c>
      <c r="H82" s="764">
        <f t="shared" si="25"/>
        <v>0</v>
      </c>
      <c r="I82" s="764">
        <f t="shared" si="25"/>
        <v>0</v>
      </c>
      <c r="J82" s="764">
        <f t="shared" si="25"/>
        <v>0</v>
      </c>
      <c r="K82" s="764">
        <f t="shared" si="25"/>
        <v>0</v>
      </c>
      <c r="L82" s="764">
        <f t="shared" si="25"/>
        <v>0</v>
      </c>
      <c r="M82" s="764">
        <f t="shared" si="25"/>
        <v>0</v>
      </c>
      <c r="N82" s="764">
        <f t="shared" si="25"/>
        <v>0</v>
      </c>
      <c r="O82" s="764">
        <f t="shared" si="25"/>
        <v>0</v>
      </c>
      <c r="P82" s="765">
        <f t="shared" si="25"/>
        <v>0</v>
      </c>
    </row>
    <row r="83" spans="1:16">
      <c r="A83" s="749"/>
      <c r="P83" s="750"/>
    </row>
    <row r="84" spans="1:16">
      <c r="A84" s="749" t="s">
        <v>474</v>
      </c>
      <c r="E84" s="652">
        <f t="shared" ref="E84:P84" si="26">E80*E82</f>
        <v>0</v>
      </c>
      <c r="F84" s="652">
        <f t="shared" si="26"/>
        <v>0</v>
      </c>
      <c r="G84" s="652">
        <f t="shared" si="26"/>
        <v>0</v>
      </c>
      <c r="H84" s="652">
        <f t="shared" si="26"/>
        <v>0</v>
      </c>
      <c r="I84" s="652">
        <f t="shared" si="26"/>
        <v>0</v>
      </c>
      <c r="J84" s="652">
        <f t="shared" si="26"/>
        <v>0</v>
      </c>
      <c r="K84" s="652">
        <f t="shared" si="26"/>
        <v>0</v>
      </c>
      <c r="L84" s="652">
        <f t="shared" si="26"/>
        <v>0</v>
      </c>
      <c r="M84" s="652">
        <f t="shared" si="26"/>
        <v>0</v>
      </c>
      <c r="N84" s="652">
        <f t="shared" si="26"/>
        <v>0</v>
      </c>
      <c r="O84" s="652">
        <f t="shared" si="26"/>
        <v>0</v>
      </c>
      <c r="P84" s="763">
        <f t="shared" si="26"/>
        <v>0</v>
      </c>
    </row>
    <row r="85" spans="1:16" ht="13.8" thickBot="1">
      <c r="A85" s="749"/>
      <c r="P85" s="750"/>
    </row>
    <row r="86" spans="1:16">
      <c r="A86" s="766" t="s">
        <v>475</v>
      </c>
      <c r="B86" s="767"/>
      <c r="C86" s="767"/>
      <c r="D86" s="767"/>
      <c r="E86" s="767"/>
      <c r="F86" s="767"/>
      <c r="G86" s="767"/>
      <c r="H86" s="767"/>
      <c r="I86" s="767"/>
      <c r="J86" s="767"/>
      <c r="K86" s="767"/>
      <c r="L86" s="767"/>
      <c r="M86" s="767"/>
      <c r="N86" s="767"/>
      <c r="O86" s="767"/>
      <c r="P86" s="772">
        <f>SUM(E84:P84)</f>
        <v>0</v>
      </c>
    </row>
  </sheetData>
  <conditionalFormatting sqref="A66:P86">
    <cfRule type="expression" dxfId="2" priority="3" stopIfTrue="1">
      <formula>$D$11&lt;=24</formula>
    </cfRule>
  </conditionalFormatting>
  <conditionalFormatting sqref="A44:P86">
    <cfRule type="expression" dxfId="1" priority="2" stopIfTrue="1">
      <formula>$D$11&lt;=12</formula>
    </cfRule>
  </conditionalFormatting>
  <conditionalFormatting sqref="A43:P43">
    <cfRule type="expression" dxfId="0" priority="1" stopIfTrue="1">
      <formula>$D$11&lt;=12</formula>
    </cfRule>
  </conditionalFormatting>
  <printOptions horizontalCentered="1" verticalCentered="1"/>
  <pageMargins left="0.25" right="0.25" top="0.5" bottom="0.5" header="0.3" footer="0.3"/>
  <pageSetup scale="96" fitToHeight="0" orientation="landscape"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6094BC-AB4C-4E82-B1AF-17D83D93636D}">
  <sheetPr codeName="Sheet62">
    <pageSetUpPr fitToPage="1"/>
  </sheetPr>
  <dimension ref="A1:K12"/>
  <sheetViews>
    <sheetView view="pageLayout" zoomScaleNormal="100" workbookViewId="0">
      <selection activeCell="A2" sqref="A2"/>
    </sheetView>
  </sheetViews>
  <sheetFormatPr defaultRowHeight="14.4"/>
  <cols>
    <col min="1" max="1" width="10.33203125" customWidth="1"/>
    <col min="2" max="2" width="25" bestFit="1" customWidth="1"/>
    <col min="3" max="3" width="6.6640625" bestFit="1" customWidth="1"/>
    <col min="4" max="4" width="7.6640625" bestFit="1" customWidth="1"/>
    <col min="5" max="5" width="11.44140625" bestFit="1" customWidth="1"/>
    <col min="6" max="6" width="12.6640625" bestFit="1" customWidth="1"/>
    <col min="7" max="7" width="13.5546875" customWidth="1"/>
    <col min="8" max="8" width="11.44140625" customWidth="1"/>
    <col min="9" max="9" width="11.88671875" customWidth="1"/>
    <col min="10" max="10" width="12.88671875" customWidth="1"/>
    <col min="11" max="11" width="11.5546875" customWidth="1"/>
  </cols>
  <sheetData>
    <row r="1" spans="1:11">
      <c r="A1" t="s">
        <v>484</v>
      </c>
      <c r="B1" t="s">
        <v>101</v>
      </c>
      <c r="C1" t="s">
        <v>485</v>
      </c>
      <c r="D1" t="s">
        <v>486</v>
      </c>
      <c r="E1" t="s">
        <v>487</v>
      </c>
      <c r="F1" t="s">
        <v>320</v>
      </c>
      <c r="G1" t="s">
        <v>488</v>
      </c>
      <c r="H1" t="s">
        <v>489</v>
      </c>
      <c r="I1" t="s">
        <v>490</v>
      </c>
      <c r="J1" t="s">
        <v>491</v>
      </c>
      <c r="K1" t="s">
        <v>492</v>
      </c>
    </row>
    <row r="2" spans="1:11">
      <c r="A2" s="1">
        <v>1240</v>
      </c>
      <c r="B2" t="s">
        <v>493</v>
      </c>
      <c r="C2" s="189">
        <v>1550</v>
      </c>
      <c r="D2" s="778">
        <v>35.770000000000003</v>
      </c>
      <c r="E2" s="778">
        <f>D2/12</f>
        <v>2.9808333333333334</v>
      </c>
      <c r="F2" s="778">
        <f>D2*C2</f>
        <v>55443.500000000007</v>
      </c>
      <c r="G2" s="778">
        <f>E2*C2</f>
        <v>4620.291666666667</v>
      </c>
      <c r="H2" s="740">
        <v>45170</v>
      </c>
      <c r="I2" s="740">
        <v>45535</v>
      </c>
      <c r="J2" s="740">
        <v>43344</v>
      </c>
      <c r="K2" s="740">
        <v>45900</v>
      </c>
    </row>
    <row r="3" spans="1:11">
      <c r="A3" s="1">
        <v>1246</v>
      </c>
      <c r="B3" t="s">
        <v>494</v>
      </c>
      <c r="C3" s="189">
        <v>1000</v>
      </c>
      <c r="D3" s="778">
        <v>35.01</v>
      </c>
      <c r="E3" s="778">
        <f t="shared" ref="E3:E9" si="0">D3/12</f>
        <v>2.9175</v>
      </c>
      <c r="F3" s="778">
        <f t="shared" ref="F3:F9" si="1">D3*C3</f>
        <v>35010</v>
      </c>
      <c r="G3" s="778">
        <f t="shared" ref="G3:G9" si="2">E3*C3</f>
        <v>2917.5</v>
      </c>
      <c r="H3" s="740">
        <v>44986</v>
      </c>
      <c r="I3" s="740">
        <v>45351</v>
      </c>
      <c r="J3" s="740">
        <v>43525</v>
      </c>
      <c r="K3" s="740">
        <v>46811</v>
      </c>
    </row>
    <row r="4" spans="1:11">
      <c r="A4" s="1">
        <v>1252</v>
      </c>
      <c r="B4" t="s">
        <v>495</v>
      </c>
      <c r="C4" s="189">
        <v>1500</v>
      </c>
      <c r="D4" s="778">
        <v>29.99</v>
      </c>
      <c r="E4" s="778">
        <f t="shared" si="0"/>
        <v>2.4991666666666665</v>
      </c>
      <c r="F4" s="778">
        <f t="shared" si="1"/>
        <v>44985</v>
      </c>
      <c r="G4" s="778">
        <f t="shared" si="2"/>
        <v>3748.75</v>
      </c>
      <c r="H4" s="740">
        <v>44958</v>
      </c>
      <c r="I4" s="740">
        <v>45322</v>
      </c>
      <c r="J4" s="740">
        <v>44593</v>
      </c>
      <c r="K4" s="740">
        <v>46419</v>
      </c>
    </row>
    <row r="5" spans="1:11">
      <c r="A5" s="779">
        <v>1258</v>
      </c>
      <c r="B5" s="717" t="s">
        <v>496</v>
      </c>
      <c r="C5" s="780">
        <v>1000</v>
      </c>
      <c r="D5" s="781">
        <v>24</v>
      </c>
      <c r="E5" s="781">
        <f t="shared" si="0"/>
        <v>2</v>
      </c>
      <c r="F5" s="781">
        <f t="shared" si="1"/>
        <v>24000</v>
      </c>
      <c r="G5" s="781">
        <f t="shared" si="2"/>
        <v>2000</v>
      </c>
      <c r="H5" s="782">
        <v>45139</v>
      </c>
      <c r="I5" s="782">
        <v>45504</v>
      </c>
      <c r="J5" s="782">
        <v>45139</v>
      </c>
      <c r="K5" s="782">
        <v>46965</v>
      </c>
    </row>
    <row r="6" spans="1:11">
      <c r="A6" s="1">
        <v>1264</v>
      </c>
      <c r="B6" t="s">
        <v>497</v>
      </c>
      <c r="C6" s="189">
        <v>1650</v>
      </c>
      <c r="D6" s="778">
        <v>23.85</v>
      </c>
      <c r="E6" s="778">
        <f t="shared" si="0"/>
        <v>1.9875</v>
      </c>
      <c r="F6" s="778">
        <f t="shared" si="1"/>
        <v>39352.5</v>
      </c>
      <c r="G6" s="778">
        <f t="shared" si="2"/>
        <v>3279.375</v>
      </c>
      <c r="H6" s="740">
        <v>44958</v>
      </c>
      <c r="I6" s="740">
        <v>45322</v>
      </c>
      <c r="J6" s="740">
        <v>44757</v>
      </c>
      <c r="K6" s="740">
        <v>48244</v>
      </c>
    </row>
    <row r="7" spans="1:11">
      <c r="A7" s="1">
        <v>1276</v>
      </c>
      <c r="B7" t="s">
        <v>498</v>
      </c>
      <c r="C7" s="189">
        <v>2500</v>
      </c>
      <c r="D7" s="778">
        <v>33.770000000000003</v>
      </c>
      <c r="E7" s="778">
        <f t="shared" si="0"/>
        <v>2.8141666666666669</v>
      </c>
      <c r="F7" s="778">
        <f t="shared" si="1"/>
        <v>84425.000000000015</v>
      </c>
      <c r="G7" s="778">
        <f t="shared" si="2"/>
        <v>7035.416666666667</v>
      </c>
      <c r="H7" s="740">
        <v>45078</v>
      </c>
      <c r="I7" s="740">
        <v>45443</v>
      </c>
      <c r="J7" s="740">
        <v>43374</v>
      </c>
      <c r="K7" s="740">
        <v>47118</v>
      </c>
    </row>
    <row r="8" spans="1:11">
      <c r="A8" s="1" t="s">
        <v>499</v>
      </c>
      <c r="B8" t="s">
        <v>500</v>
      </c>
      <c r="C8" s="189">
        <v>1200</v>
      </c>
      <c r="D8" s="778">
        <v>21.01</v>
      </c>
      <c r="E8" s="778">
        <f t="shared" si="0"/>
        <v>1.7508333333333335</v>
      </c>
      <c r="F8" s="778">
        <f t="shared" si="1"/>
        <v>25212.000000000004</v>
      </c>
      <c r="G8" s="778">
        <f t="shared" si="2"/>
        <v>2101</v>
      </c>
      <c r="H8" s="740">
        <v>44986</v>
      </c>
      <c r="I8" s="740">
        <v>45351</v>
      </c>
      <c r="J8" s="740">
        <v>44593</v>
      </c>
      <c r="K8" s="740">
        <v>46783</v>
      </c>
    </row>
    <row r="9" spans="1:11">
      <c r="A9" s="1" t="s">
        <v>501</v>
      </c>
      <c r="B9" t="s">
        <v>502</v>
      </c>
      <c r="C9" s="189">
        <v>1200</v>
      </c>
      <c r="D9" s="778">
        <v>24</v>
      </c>
      <c r="E9" s="778">
        <f t="shared" si="0"/>
        <v>2</v>
      </c>
      <c r="F9" s="778">
        <f t="shared" si="1"/>
        <v>28800</v>
      </c>
      <c r="G9" s="778">
        <f t="shared" si="2"/>
        <v>2400</v>
      </c>
      <c r="H9" s="740">
        <v>44958</v>
      </c>
      <c r="I9" s="740">
        <v>45322</v>
      </c>
      <c r="J9" s="740">
        <v>38595</v>
      </c>
      <c r="K9" s="740">
        <v>46783</v>
      </c>
    </row>
    <row r="10" spans="1:11">
      <c r="C10" s="189">
        <f>SUM(C2:C9)</f>
        <v>11600</v>
      </c>
      <c r="F10" s="778">
        <f>SUM(F2:F9)</f>
        <v>337228</v>
      </c>
      <c r="G10" s="778">
        <f>SUM(G2:G9)</f>
        <v>28102.333333333336</v>
      </c>
    </row>
    <row r="12" spans="1:11">
      <c r="B12" s="13" t="s">
        <v>503</v>
      </c>
    </row>
  </sheetData>
  <printOptions horizontalCentered="1"/>
  <pageMargins left="0.7" right="0.7" top="0.75" bottom="0.75" header="0.3" footer="0.3"/>
  <pageSetup scale="90" orientation="landscape" r:id="rId1"/>
  <headerFooter scaleWithDoc="0">
    <oddHeader>&amp;C&amp;"-,Bold"&amp;20&amp;A</oddHeader>
  </headerFooter>
  <tableParts count="1">
    <tablePart r:id="rId2"/>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5F7CDB-D9E5-44EE-A8DD-FC2F1D66273D}">
  <sheetPr codeName="Sheet46">
    <tabColor theme="9" tint="-0.249977111117893"/>
  </sheetPr>
  <dimension ref="A1:M99"/>
  <sheetViews>
    <sheetView view="pageLayout" zoomScale="115" zoomScaleNormal="115" zoomScaleSheetLayoutView="130" zoomScalePageLayoutView="115" workbookViewId="0">
      <selection activeCell="A2" sqref="A2"/>
    </sheetView>
  </sheetViews>
  <sheetFormatPr defaultRowHeight="14.4"/>
  <cols>
    <col min="1" max="1" width="9.6640625" customWidth="1"/>
    <col min="4" max="4" width="11.33203125" bestFit="1" customWidth="1"/>
    <col min="7" max="7" width="12.6640625" bestFit="1" customWidth="1"/>
    <col min="8" max="8" width="13" bestFit="1" customWidth="1"/>
    <col min="11" max="11" width="9.6640625" customWidth="1"/>
  </cols>
  <sheetData>
    <row r="1" spans="1:11">
      <c r="A1" s="21"/>
      <c r="B1" s="21"/>
      <c r="C1" s="21"/>
      <c r="D1" s="21"/>
      <c r="E1" s="21"/>
      <c r="F1" s="21"/>
      <c r="G1" s="21"/>
      <c r="H1" s="21"/>
      <c r="I1" s="21"/>
      <c r="J1" s="21"/>
      <c r="K1" s="21"/>
    </row>
    <row r="2" spans="1:11">
      <c r="A2" s="21"/>
      <c r="B2" s="21"/>
      <c r="C2" s="21"/>
      <c r="D2" s="21"/>
      <c r="E2" s="21"/>
      <c r="F2" s="21"/>
      <c r="G2" s="21"/>
      <c r="H2" s="21"/>
      <c r="I2" s="21"/>
      <c r="J2" s="21"/>
      <c r="K2" s="21"/>
    </row>
    <row r="3" spans="1:11">
      <c r="A3" s="21"/>
      <c r="B3" s="21"/>
      <c r="C3" s="21"/>
      <c r="D3" s="21"/>
      <c r="E3" s="21"/>
      <c r="F3" s="21"/>
      <c r="G3" s="21"/>
      <c r="H3" s="21"/>
      <c r="I3" s="21"/>
      <c r="J3" s="21"/>
      <c r="K3" s="21"/>
    </row>
    <row r="4" spans="1:11">
      <c r="A4" s="21"/>
      <c r="B4" s="21"/>
      <c r="C4" s="21"/>
      <c r="D4" s="21"/>
      <c r="E4" s="21"/>
      <c r="F4" s="21"/>
      <c r="G4" s="21"/>
      <c r="H4" s="21"/>
      <c r="I4" s="21"/>
      <c r="J4" s="21"/>
      <c r="K4" s="21"/>
    </row>
    <row r="5" spans="1:11">
      <c r="A5" s="21"/>
      <c r="B5" s="21"/>
      <c r="C5" s="21"/>
      <c r="D5" s="21"/>
      <c r="E5" s="21"/>
      <c r="F5" s="21"/>
      <c r="G5" s="21"/>
      <c r="H5" s="21"/>
      <c r="I5" s="21"/>
      <c r="J5" s="21"/>
      <c r="K5" s="21"/>
    </row>
    <row r="6" spans="1:11">
      <c r="A6" s="21"/>
      <c r="B6" s="21"/>
      <c r="C6" s="21"/>
      <c r="D6" s="21"/>
      <c r="E6" s="21"/>
      <c r="F6" s="21"/>
      <c r="G6" s="21"/>
      <c r="H6" s="21"/>
      <c r="I6" s="21"/>
      <c r="J6" s="21"/>
      <c r="K6" s="21"/>
    </row>
    <row r="7" spans="1:11">
      <c r="A7" s="21"/>
      <c r="B7" s="21"/>
      <c r="C7" s="21"/>
      <c r="D7" s="21"/>
      <c r="E7" s="21"/>
      <c r="F7" s="21"/>
      <c r="G7" s="21"/>
      <c r="H7" s="21"/>
      <c r="I7" s="21"/>
      <c r="J7" s="21"/>
      <c r="K7" s="21"/>
    </row>
    <row r="8" spans="1:11">
      <c r="A8" s="21"/>
      <c r="B8" s="21"/>
      <c r="C8" s="21"/>
      <c r="D8" s="21"/>
      <c r="E8" s="21"/>
      <c r="F8" s="21"/>
      <c r="G8" s="21"/>
      <c r="H8" s="21"/>
      <c r="I8" s="21"/>
      <c r="J8" s="21"/>
      <c r="K8" s="21"/>
    </row>
    <row r="9" spans="1:11">
      <c r="A9" s="21"/>
      <c r="B9" s="21"/>
      <c r="C9" s="21"/>
      <c r="D9" s="21"/>
      <c r="E9" s="21"/>
      <c r="F9" s="21"/>
      <c r="G9" s="21"/>
      <c r="H9" s="21"/>
      <c r="I9" s="21"/>
      <c r="J9" s="21"/>
      <c r="K9" s="21"/>
    </row>
    <row r="10" spans="1:11">
      <c r="A10" s="21"/>
      <c r="B10" s="21"/>
      <c r="C10" s="21"/>
      <c r="D10" s="21"/>
      <c r="E10" s="21"/>
      <c r="F10" s="21"/>
      <c r="G10" s="21"/>
      <c r="H10" s="21"/>
      <c r="I10" s="21"/>
      <c r="J10" s="21"/>
      <c r="K10" s="21"/>
    </row>
    <row r="11" spans="1:11">
      <c r="A11" s="21"/>
      <c r="B11" s="21"/>
      <c r="C11" s="21"/>
      <c r="D11" s="21"/>
      <c r="E11" s="21"/>
      <c r="F11" s="21"/>
      <c r="G11" s="21"/>
      <c r="H11" s="21"/>
      <c r="I11" s="21"/>
      <c r="J11" s="21"/>
      <c r="K11" s="21"/>
    </row>
    <row r="12" spans="1:11">
      <c r="A12" s="21"/>
      <c r="B12" s="21"/>
      <c r="C12" s="21"/>
      <c r="D12" s="21"/>
      <c r="E12" s="21"/>
      <c r="F12" s="21"/>
      <c r="G12" s="21"/>
      <c r="H12" s="21"/>
      <c r="I12" s="21"/>
      <c r="J12" s="21"/>
      <c r="K12" s="21"/>
    </row>
    <row r="13" spans="1:11">
      <c r="A13" s="21"/>
      <c r="B13" s="21"/>
      <c r="C13" s="21"/>
      <c r="D13" s="21"/>
      <c r="E13" s="21"/>
      <c r="F13" s="21"/>
      <c r="G13" s="21"/>
      <c r="H13" s="21"/>
      <c r="I13" s="21"/>
      <c r="J13" s="21"/>
      <c r="K13" s="21"/>
    </row>
    <row r="14" spans="1:11">
      <c r="A14" s="21"/>
      <c r="B14" s="21"/>
      <c r="C14" s="21"/>
      <c r="D14" s="21"/>
      <c r="E14" s="21"/>
      <c r="F14" s="21"/>
      <c r="G14" s="21"/>
      <c r="H14" s="21"/>
      <c r="I14" s="21"/>
      <c r="J14" s="21"/>
      <c r="K14" s="21"/>
    </row>
    <row r="15" spans="1:11">
      <c r="A15" s="21"/>
      <c r="B15" s="21"/>
      <c r="C15" s="21"/>
      <c r="D15" s="21"/>
      <c r="E15" s="21"/>
      <c r="F15" s="21"/>
      <c r="G15" s="21"/>
      <c r="H15" s="21"/>
      <c r="I15" s="21"/>
      <c r="J15" s="21"/>
      <c r="K15" s="21"/>
    </row>
    <row r="16" spans="1:11">
      <c r="A16" s="21"/>
      <c r="B16" s="21"/>
      <c r="C16" s="21"/>
      <c r="D16" s="21"/>
      <c r="E16" s="21"/>
      <c r="F16" s="21"/>
      <c r="G16" s="21"/>
      <c r="H16" s="21"/>
      <c r="I16" s="21"/>
      <c r="J16" s="21"/>
      <c r="K16" s="21"/>
    </row>
    <row r="17" spans="1:11">
      <c r="A17" s="21"/>
      <c r="B17" s="21"/>
      <c r="C17" s="21"/>
      <c r="D17" s="21"/>
      <c r="E17" s="21"/>
      <c r="F17" s="21"/>
      <c r="G17" s="21"/>
      <c r="H17" s="21"/>
      <c r="I17" s="21"/>
      <c r="J17" s="21"/>
      <c r="K17" s="21"/>
    </row>
    <row r="18" spans="1:11">
      <c r="A18" s="21"/>
      <c r="B18" s="21"/>
      <c r="C18" s="21"/>
      <c r="D18" s="21"/>
      <c r="E18" s="21"/>
      <c r="F18" s="21"/>
      <c r="G18" s="21"/>
      <c r="H18" s="21"/>
      <c r="I18" s="21"/>
      <c r="J18" s="21"/>
      <c r="K18" s="21"/>
    </row>
    <row r="19" spans="1:11">
      <c r="A19" s="21"/>
      <c r="B19" s="21"/>
      <c r="C19" s="21"/>
      <c r="D19" s="21"/>
      <c r="E19" s="21"/>
      <c r="F19" s="21"/>
      <c r="G19" s="21"/>
      <c r="H19" s="21"/>
      <c r="I19" s="21"/>
      <c r="J19" s="21"/>
      <c r="K19" s="21"/>
    </row>
    <row r="20" spans="1:11">
      <c r="A20" s="21"/>
      <c r="B20" s="21"/>
      <c r="C20" s="21"/>
      <c r="D20" s="21"/>
      <c r="E20" s="21"/>
      <c r="F20" s="21"/>
      <c r="G20" s="21"/>
      <c r="H20" s="21"/>
      <c r="I20" s="21"/>
      <c r="J20" s="21"/>
      <c r="K20" s="21"/>
    </row>
    <row r="21" spans="1:11">
      <c r="A21" s="21"/>
      <c r="B21" s="21"/>
      <c r="C21" s="21"/>
      <c r="D21" s="21"/>
      <c r="E21" s="21"/>
      <c r="F21" s="21"/>
      <c r="G21" s="21"/>
      <c r="H21" s="21"/>
      <c r="I21" s="21"/>
      <c r="J21" s="21"/>
      <c r="K21" s="21"/>
    </row>
    <row r="22" spans="1:11">
      <c r="A22" s="21"/>
      <c r="B22" s="21"/>
      <c r="C22" s="21"/>
      <c r="D22" s="21"/>
      <c r="E22" s="21"/>
      <c r="F22" s="21"/>
      <c r="G22" s="21"/>
      <c r="H22" s="21"/>
      <c r="I22" s="21"/>
      <c r="J22" s="21"/>
      <c r="K22" s="21"/>
    </row>
    <row r="23" spans="1:11">
      <c r="A23" s="21"/>
      <c r="B23" s="21"/>
      <c r="C23" s="21"/>
      <c r="D23" s="21"/>
      <c r="E23" s="21"/>
      <c r="F23" s="21"/>
      <c r="G23" s="21"/>
      <c r="H23" s="21"/>
      <c r="I23" s="21"/>
      <c r="J23" s="21"/>
      <c r="K23" s="21"/>
    </row>
    <row r="24" spans="1:11">
      <c r="A24" s="21"/>
      <c r="B24" s="21"/>
      <c r="C24" s="21"/>
      <c r="D24" s="21"/>
      <c r="E24" s="21"/>
      <c r="F24" s="21"/>
      <c r="G24" s="21"/>
      <c r="H24" s="21"/>
      <c r="I24" s="21"/>
      <c r="J24" s="21"/>
      <c r="K24" s="21"/>
    </row>
    <row r="25" spans="1:11">
      <c r="A25" s="21"/>
      <c r="B25" s="21"/>
      <c r="C25" s="21"/>
      <c r="D25" s="21"/>
      <c r="E25" s="21"/>
      <c r="F25" s="21"/>
      <c r="G25" s="21"/>
      <c r="H25" s="21"/>
      <c r="I25" s="21"/>
      <c r="J25" s="21"/>
      <c r="K25" s="21"/>
    </row>
    <row r="26" spans="1:11">
      <c r="A26" s="21"/>
      <c r="B26" s="21"/>
      <c r="C26" s="21"/>
      <c r="D26" s="21"/>
      <c r="E26" s="21"/>
      <c r="F26" s="21"/>
      <c r="G26" s="21"/>
      <c r="H26" s="21"/>
      <c r="I26" s="21"/>
      <c r="J26" s="21"/>
      <c r="K26" s="21"/>
    </row>
    <row r="27" spans="1:11">
      <c r="A27" s="21"/>
      <c r="B27" s="21"/>
      <c r="C27" s="21"/>
      <c r="D27" s="21"/>
      <c r="E27" s="21"/>
      <c r="F27" s="21"/>
      <c r="G27" s="21"/>
      <c r="H27" s="21"/>
      <c r="I27" s="21"/>
      <c r="J27" s="21"/>
      <c r="K27" s="21"/>
    </row>
    <row r="28" spans="1:11">
      <c r="A28" s="21"/>
      <c r="B28" s="21"/>
      <c r="C28" s="21"/>
      <c r="D28" s="21"/>
      <c r="E28" s="21"/>
      <c r="F28" s="21"/>
      <c r="G28" s="21"/>
      <c r="H28" s="21"/>
      <c r="I28" s="21"/>
      <c r="J28" s="21"/>
      <c r="K28" s="21"/>
    </row>
    <row r="29" spans="1:11">
      <c r="A29" s="21"/>
      <c r="B29" s="21"/>
      <c r="C29" s="21"/>
      <c r="D29" s="21"/>
      <c r="E29" s="21"/>
      <c r="F29" s="21"/>
      <c r="G29" s="21"/>
      <c r="H29" s="21"/>
      <c r="I29" s="21"/>
      <c r="J29" s="21"/>
      <c r="K29" s="21"/>
    </row>
    <row r="30" spans="1:11">
      <c r="A30" s="21"/>
      <c r="B30" s="21"/>
      <c r="C30" s="21"/>
      <c r="D30" s="21"/>
      <c r="E30" s="21"/>
      <c r="F30" s="21"/>
      <c r="G30" s="21"/>
      <c r="H30" s="21"/>
      <c r="I30" s="21"/>
      <c r="J30" s="21"/>
      <c r="K30" s="21"/>
    </row>
    <row r="31" spans="1:11">
      <c r="A31" s="21"/>
      <c r="B31" s="21"/>
      <c r="C31" s="21"/>
      <c r="D31" s="21"/>
      <c r="E31" s="21"/>
      <c r="F31" s="21"/>
      <c r="G31" s="21"/>
      <c r="H31" s="21"/>
      <c r="I31" s="21"/>
      <c r="J31" s="21"/>
      <c r="K31" s="21"/>
    </row>
    <row r="32" spans="1:11">
      <c r="A32" s="21"/>
      <c r="B32" s="21"/>
      <c r="C32" s="21"/>
      <c r="D32" s="21"/>
      <c r="E32" s="21"/>
      <c r="F32" s="21"/>
      <c r="G32" s="21"/>
      <c r="H32" s="21"/>
      <c r="I32" s="21"/>
      <c r="J32" s="21"/>
      <c r="K32" s="21"/>
    </row>
    <row r="33" spans="1:13">
      <c r="A33" s="21"/>
      <c r="B33" s="21"/>
      <c r="C33" s="21"/>
      <c r="D33" s="21"/>
      <c r="E33" s="21"/>
      <c r="F33" s="21"/>
      <c r="G33" s="21"/>
      <c r="H33" s="21"/>
      <c r="I33" s="21"/>
      <c r="J33" s="21"/>
      <c r="K33" s="21"/>
    </row>
    <row r="34" spans="1:13">
      <c r="A34" s="21"/>
      <c r="B34" s="21"/>
      <c r="C34" s="21"/>
      <c r="D34" s="21"/>
      <c r="E34" s="21"/>
      <c r="F34" s="21"/>
      <c r="G34" s="21"/>
      <c r="H34" s="21"/>
      <c r="I34" s="21"/>
      <c r="J34" s="21"/>
      <c r="K34" s="21"/>
    </row>
    <row r="35" spans="1:13">
      <c r="A35" s="21"/>
      <c r="B35" s="21"/>
      <c r="C35" s="21"/>
      <c r="D35" s="21"/>
      <c r="E35" s="21"/>
      <c r="F35" s="21"/>
      <c r="G35" s="21"/>
      <c r="H35" s="21"/>
      <c r="I35" s="21"/>
      <c r="J35" s="21"/>
      <c r="K35" s="21"/>
    </row>
    <row r="36" spans="1:13">
      <c r="A36" s="21"/>
      <c r="B36" s="21"/>
      <c r="C36" s="21"/>
      <c r="D36" s="21"/>
      <c r="E36" s="21"/>
      <c r="F36" s="21"/>
      <c r="G36" s="21"/>
      <c r="H36" s="21"/>
      <c r="I36" s="21"/>
      <c r="J36" s="21"/>
      <c r="K36" s="21"/>
    </row>
    <row r="37" spans="1:13">
      <c r="A37" s="21"/>
      <c r="B37" s="271"/>
      <c r="C37" s="271"/>
      <c r="D37" s="271"/>
      <c r="E37" s="271"/>
      <c r="F37" s="271"/>
      <c r="G37" s="271"/>
      <c r="H37" s="271"/>
      <c r="I37" s="271"/>
      <c r="J37" s="271"/>
      <c r="K37" s="21"/>
    </row>
    <row r="38" spans="1:13">
      <c r="A38" s="21"/>
      <c r="B38" s="271"/>
      <c r="C38" s="271"/>
      <c r="D38" s="271"/>
      <c r="E38" s="271"/>
      <c r="F38" s="271"/>
      <c r="G38" s="271"/>
      <c r="H38" s="271"/>
      <c r="I38" s="271"/>
      <c r="J38" s="271"/>
      <c r="K38" s="21"/>
    </row>
    <row r="39" spans="1:13">
      <c r="A39" s="21"/>
      <c r="B39" s="271"/>
      <c r="C39" s="271"/>
      <c r="D39" s="271"/>
      <c r="E39" s="271"/>
      <c r="F39" s="271"/>
      <c r="G39" s="271"/>
      <c r="H39" s="271"/>
      <c r="I39" s="271"/>
      <c r="J39" s="271"/>
      <c r="K39" s="21"/>
    </row>
    <row r="40" spans="1:13">
      <c r="A40" s="21"/>
      <c r="B40" s="271"/>
      <c r="C40" s="271"/>
      <c r="D40" s="271"/>
      <c r="E40" s="271"/>
      <c r="F40" s="271"/>
      <c r="G40" s="271"/>
      <c r="H40" s="271"/>
      <c r="I40" s="271"/>
      <c r="J40" s="271"/>
      <c r="K40" s="21"/>
    </row>
    <row r="41" spans="1:13">
      <c r="A41" s="21"/>
      <c r="B41" s="21"/>
      <c r="C41" s="21"/>
      <c r="D41" s="21"/>
      <c r="E41" s="21"/>
      <c r="F41" s="21"/>
      <c r="G41" s="21"/>
      <c r="H41" s="21"/>
      <c r="I41" s="21"/>
      <c r="J41" s="21"/>
      <c r="K41" s="21"/>
    </row>
    <row r="42" spans="1:13">
      <c r="A42" s="21"/>
      <c r="B42" s="21"/>
      <c r="C42" s="21"/>
      <c r="D42" s="21"/>
      <c r="E42" s="21"/>
      <c r="F42" s="21"/>
      <c r="G42" s="21"/>
      <c r="H42" s="21"/>
      <c r="I42" s="21"/>
      <c r="J42" s="21"/>
      <c r="K42" s="21"/>
    </row>
    <row r="43" spans="1:13">
      <c r="A43" s="21"/>
      <c r="B43" s="1006" t="s">
        <v>504</v>
      </c>
      <c r="C43" s="1006"/>
      <c r="D43" s="1006"/>
      <c r="E43" s="1006"/>
      <c r="F43" s="1006"/>
      <c r="G43" s="1006"/>
      <c r="H43" s="1006"/>
      <c r="I43" s="1006"/>
      <c r="J43" s="1006"/>
      <c r="K43" s="21"/>
    </row>
    <row r="44" spans="1:13">
      <c r="A44" s="21"/>
      <c r="B44" s="1006"/>
      <c r="C44" s="1006"/>
      <c r="D44" s="1006"/>
      <c r="E44" s="1006"/>
      <c r="F44" s="1006"/>
      <c r="G44" s="1006"/>
      <c r="H44" s="1006"/>
      <c r="I44" s="1006"/>
      <c r="J44" s="1006"/>
      <c r="K44" s="21"/>
    </row>
    <row r="45" spans="1:13">
      <c r="A45" s="21"/>
      <c r="B45" s="1007" t="s">
        <v>505</v>
      </c>
      <c r="C45" s="1007"/>
      <c r="D45" s="778">
        <v>296948.40999999997</v>
      </c>
      <c r="F45" s="1008" t="s">
        <v>506</v>
      </c>
      <c r="G45" s="1008"/>
      <c r="H45" s="778">
        <f>D48</f>
        <v>282371.67</v>
      </c>
      <c r="I45" s="21"/>
      <c r="J45" s="21"/>
      <c r="K45" s="21"/>
    </row>
    <row r="46" spans="1:13">
      <c r="A46" s="21"/>
      <c r="B46" s="1007" t="s">
        <v>507</v>
      </c>
      <c r="C46" s="1007"/>
      <c r="D46" s="778">
        <v>55871.19</v>
      </c>
      <c r="F46" s="1007" t="s">
        <v>508</v>
      </c>
      <c r="G46" s="1007"/>
      <c r="H46" s="736">
        <v>0.06</v>
      </c>
      <c r="I46" s="21"/>
      <c r="J46" s="21"/>
      <c r="K46" s="21"/>
      <c r="L46" t="s">
        <v>509</v>
      </c>
      <c r="M46">
        <v>364287.65</v>
      </c>
    </row>
    <row r="47" spans="1:13">
      <c r="A47" s="21"/>
      <c r="B47" s="1008" t="s">
        <v>510</v>
      </c>
      <c r="C47" s="1008"/>
      <c r="D47" s="778">
        <v>41294.449999999997</v>
      </c>
      <c r="F47" s="1005" t="s">
        <v>511</v>
      </c>
      <c r="G47" s="1005"/>
      <c r="H47" s="784">
        <f>H45/H46</f>
        <v>4706194.5</v>
      </c>
      <c r="I47" s="21"/>
      <c r="J47" s="21"/>
      <c r="K47" s="21"/>
      <c r="L47" t="s">
        <v>512</v>
      </c>
      <c r="M47">
        <f>123510.43-41294.45</f>
        <v>82215.98</v>
      </c>
    </row>
    <row r="48" spans="1:13">
      <c r="A48" s="21"/>
      <c r="B48" s="1005" t="s">
        <v>506</v>
      </c>
      <c r="C48" s="1005"/>
      <c r="D48" s="785">
        <f>D45-D46+D47</f>
        <v>282371.67</v>
      </c>
      <c r="F48" s="783"/>
      <c r="G48" s="783"/>
      <c r="H48" s="784"/>
      <c r="I48" s="21"/>
      <c r="J48" s="21"/>
      <c r="K48" s="21"/>
      <c r="M48">
        <f>M46-M47</f>
        <v>282071.67000000004</v>
      </c>
    </row>
    <row r="49" spans="1:11">
      <c r="A49" s="21"/>
      <c r="B49" s="783"/>
      <c r="C49" s="827"/>
      <c r="D49" s="827"/>
      <c r="E49" s="1"/>
      <c r="F49" s="786"/>
      <c r="G49" s="787"/>
      <c r="H49" s="784"/>
      <c r="I49" s="21"/>
      <c r="J49" s="21"/>
      <c r="K49" s="21"/>
    </row>
    <row r="50" spans="1:11">
      <c r="A50" s="21"/>
      <c r="B50" s="783"/>
      <c r="C50" s="827"/>
      <c r="D50" s="827"/>
      <c r="E50" s="1"/>
      <c r="F50" s="786"/>
      <c r="G50" s="787"/>
      <c r="H50" s="784"/>
      <c r="I50" s="21"/>
      <c r="J50" s="21"/>
      <c r="K50" s="21"/>
    </row>
    <row r="51" spans="1:11">
      <c r="A51" s="21"/>
      <c r="B51" s="21"/>
      <c r="C51" s="21"/>
      <c r="D51" s="21"/>
      <c r="E51" s="21"/>
      <c r="F51" s="21"/>
      <c r="G51" s="21"/>
      <c r="H51" s="21"/>
      <c r="I51" s="21"/>
      <c r="J51" s="21"/>
      <c r="K51" s="21"/>
    </row>
    <row r="52" spans="1:11" ht="15.6" customHeight="1">
      <c r="A52" s="21"/>
      <c r="B52" s="788"/>
      <c r="C52" s="788"/>
      <c r="D52" s="788"/>
      <c r="E52" s="788"/>
      <c r="F52" s="788"/>
      <c r="G52" s="788"/>
      <c r="H52" s="788"/>
      <c r="I52" s="788"/>
      <c r="J52" s="788"/>
      <c r="K52" s="21"/>
    </row>
    <row r="53" spans="1:11" ht="15" customHeight="1">
      <c r="A53" s="21"/>
      <c r="B53" s="788"/>
      <c r="C53" s="788"/>
      <c r="D53" s="788"/>
      <c r="E53" s="788"/>
      <c r="F53" s="788"/>
      <c r="G53" s="788"/>
      <c r="H53" s="788"/>
      <c r="I53" s="788"/>
      <c r="J53" s="788"/>
      <c r="K53" s="21"/>
    </row>
    <row r="54" spans="1:11">
      <c r="A54" s="21"/>
      <c r="B54" s="788"/>
      <c r="C54" s="788"/>
      <c r="D54" s="788"/>
      <c r="E54" s="788"/>
      <c r="F54" s="788"/>
      <c r="G54" s="788"/>
      <c r="H54" s="788"/>
      <c r="I54" s="788"/>
      <c r="J54" s="788"/>
      <c r="K54" s="21"/>
    </row>
    <row r="55" spans="1:11">
      <c r="A55" s="21"/>
      <c r="B55" s="21"/>
      <c r="C55" s="21"/>
      <c r="D55" s="21"/>
      <c r="E55" s="21"/>
      <c r="F55" s="21"/>
      <c r="G55" s="21"/>
      <c r="H55" s="21"/>
      <c r="I55" s="21"/>
      <c r="J55" s="21"/>
      <c r="K55" s="21"/>
    </row>
    <row r="56" spans="1:11">
      <c r="A56" s="21"/>
      <c r="B56" s="21"/>
      <c r="C56" s="21"/>
      <c r="D56" s="21"/>
      <c r="E56" s="21"/>
      <c r="F56" s="21"/>
      <c r="G56" s="21"/>
      <c r="H56" s="21"/>
      <c r="I56" s="21"/>
      <c r="J56" s="21"/>
      <c r="K56" s="21"/>
    </row>
    <row r="57" spans="1:11">
      <c r="A57" s="21"/>
      <c r="B57" s="21"/>
      <c r="C57" s="21"/>
      <c r="D57" s="21"/>
      <c r="E57" s="21"/>
      <c r="F57" s="21"/>
      <c r="G57" s="21"/>
      <c r="H57" s="21"/>
      <c r="I57" s="21"/>
      <c r="J57" s="21"/>
      <c r="K57" s="21"/>
    </row>
    <row r="58" spans="1:11">
      <c r="A58" s="21"/>
      <c r="B58" s="21"/>
      <c r="C58" s="21"/>
      <c r="D58" s="21"/>
      <c r="E58" s="21"/>
      <c r="F58" s="21"/>
      <c r="G58" s="21"/>
      <c r="H58" s="21"/>
      <c r="I58" s="21"/>
      <c r="J58" s="21"/>
      <c r="K58" s="21"/>
    </row>
    <row r="59" spans="1:11">
      <c r="A59" s="21"/>
      <c r="B59" s="21"/>
      <c r="C59" s="21"/>
      <c r="D59" s="21"/>
      <c r="E59" s="21"/>
      <c r="F59" s="21"/>
      <c r="G59" s="21"/>
      <c r="H59" s="21"/>
      <c r="I59" s="21"/>
      <c r="J59" s="21"/>
      <c r="K59" s="21"/>
    </row>
    <row r="60" spans="1:11">
      <c r="A60" s="21"/>
      <c r="B60" s="21"/>
      <c r="C60" s="21"/>
      <c r="D60" s="21"/>
      <c r="E60" s="21"/>
      <c r="F60" s="21"/>
      <c r="G60" s="21"/>
      <c r="H60" s="21"/>
      <c r="I60" s="21"/>
      <c r="J60" s="21"/>
      <c r="K60" s="21"/>
    </row>
    <row r="61" spans="1:11">
      <c r="A61" s="21"/>
      <c r="B61" s="21"/>
      <c r="C61" s="21"/>
      <c r="D61" s="21"/>
      <c r="E61" s="21"/>
      <c r="F61" s="21"/>
      <c r="G61" s="21"/>
      <c r="H61" s="21"/>
      <c r="I61" s="21"/>
      <c r="J61" s="21"/>
      <c r="K61" s="21"/>
    </row>
    <row r="62" spans="1:11">
      <c r="A62" s="21"/>
      <c r="B62" s="21"/>
      <c r="C62" s="21"/>
      <c r="D62" s="21"/>
      <c r="E62" s="21"/>
      <c r="F62" s="21"/>
      <c r="G62" s="21"/>
      <c r="H62" s="21"/>
      <c r="I62" s="21"/>
      <c r="J62" s="21"/>
      <c r="K62" s="21"/>
    </row>
    <row r="63" spans="1:11">
      <c r="A63" s="21"/>
      <c r="B63" s="21"/>
      <c r="C63" s="21"/>
      <c r="D63" s="21"/>
      <c r="E63" s="21"/>
      <c r="F63" s="21"/>
      <c r="G63" s="21"/>
      <c r="H63" s="21"/>
      <c r="I63" s="21"/>
      <c r="J63" s="21"/>
      <c r="K63" s="21"/>
    </row>
    <row r="64" spans="1:11">
      <c r="A64" s="21"/>
      <c r="B64" s="21"/>
      <c r="C64" s="21"/>
      <c r="D64" s="21"/>
      <c r="E64" s="21"/>
      <c r="F64" s="21"/>
      <c r="G64" s="21"/>
      <c r="H64" s="21"/>
      <c r="I64" s="21"/>
      <c r="J64" s="21"/>
      <c r="K64" s="21"/>
    </row>
    <row r="65" spans="1:11">
      <c r="A65" s="21"/>
      <c r="B65" s="21"/>
      <c r="C65" s="21"/>
      <c r="D65" s="21"/>
      <c r="E65" s="21"/>
      <c r="F65" s="21"/>
      <c r="G65" s="21"/>
      <c r="H65" s="21"/>
      <c r="I65" s="21"/>
      <c r="J65" s="21"/>
      <c r="K65" s="21"/>
    </row>
    <row r="66" spans="1:11">
      <c r="A66" s="21"/>
      <c r="B66" s="21"/>
      <c r="C66" s="21"/>
      <c r="D66" s="21"/>
      <c r="E66" s="21"/>
      <c r="F66" s="21"/>
      <c r="G66" s="21"/>
      <c r="H66" s="21"/>
      <c r="I66" s="21"/>
      <c r="J66" s="21"/>
      <c r="K66" s="21"/>
    </row>
    <row r="67" spans="1:11">
      <c r="A67" s="21"/>
      <c r="B67" s="21"/>
      <c r="C67" s="21"/>
      <c r="D67" s="21"/>
      <c r="E67" s="21"/>
      <c r="F67" s="21"/>
      <c r="G67" s="21"/>
      <c r="H67" s="21"/>
      <c r="I67" s="21"/>
      <c r="J67" s="21"/>
      <c r="K67" s="21"/>
    </row>
    <row r="68" spans="1:11">
      <c r="A68" s="21"/>
      <c r="B68" s="21"/>
      <c r="C68" s="21"/>
      <c r="D68" s="21"/>
      <c r="E68" s="21"/>
      <c r="F68" s="21"/>
      <c r="G68" s="21"/>
      <c r="H68" s="21"/>
      <c r="I68" s="21"/>
      <c r="J68" s="21"/>
      <c r="K68" s="21"/>
    </row>
    <row r="69" spans="1:11">
      <c r="A69" s="21"/>
      <c r="B69" s="21"/>
      <c r="C69" s="21"/>
      <c r="D69" s="21"/>
      <c r="E69" s="21"/>
      <c r="F69" s="21"/>
      <c r="G69" s="21"/>
      <c r="H69" s="21"/>
      <c r="I69" s="21"/>
      <c r="J69" s="21"/>
      <c r="K69" s="21"/>
    </row>
    <row r="70" spans="1:11">
      <c r="A70" s="21"/>
      <c r="B70" s="21"/>
      <c r="C70" s="21"/>
      <c r="D70" s="21"/>
      <c r="E70" s="21"/>
      <c r="F70" s="21"/>
      <c r="G70" s="21"/>
      <c r="H70" s="21"/>
      <c r="I70" s="21"/>
      <c r="J70" s="21"/>
      <c r="K70" s="21"/>
    </row>
    <row r="71" spans="1:11">
      <c r="A71" s="21"/>
      <c r="B71" s="21"/>
      <c r="C71" s="21"/>
      <c r="D71" s="21"/>
      <c r="E71" s="21"/>
      <c r="F71" s="21"/>
      <c r="G71" s="21"/>
      <c r="H71" s="21"/>
      <c r="I71" s="21"/>
      <c r="J71" s="21"/>
      <c r="K71" s="21"/>
    </row>
    <row r="72" spans="1:11">
      <c r="A72" s="21"/>
      <c r="B72" s="21"/>
      <c r="C72" s="21"/>
      <c r="D72" s="21"/>
      <c r="E72" s="21"/>
      <c r="F72" s="21"/>
      <c r="G72" s="21"/>
      <c r="H72" s="21"/>
      <c r="I72" s="21"/>
      <c r="J72" s="21"/>
      <c r="K72" s="21"/>
    </row>
    <row r="73" spans="1:11">
      <c r="A73" s="21"/>
      <c r="B73" s="21"/>
      <c r="C73" s="21"/>
      <c r="D73" s="21"/>
      <c r="E73" s="21"/>
      <c r="F73" s="21"/>
      <c r="G73" s="21"/>
      <c r="H73" s="21"/>
      <c r="I73" s="21"/>
      <c r="J73" s="21"/>
      <c r="K73" s="21"/>
    </row>
    <row r="74" spans="1:11">
      <c r="A74" s="21"/>
      <c r="B74" s="21"/>
      <c r="C74" s="21"/>
      <c r="D74" s="21"/>
      <c r="E74" s="21"/>
      <c r="F74" s="21"/>
      <c r="G74" s="21"/>
      <c r="H74" s="21"/>
      <c r="I74" s="21"/>
      <c r="J74" s="21"/>
      <c r="K74" s="21"/>
    </row>
    <row r="75" spans="1:11">
      <c r="A75" s="21"/>
      <c r="B75" s="21"/>
      <c r="C75" s="21"/>
      <c r="D75" s="21"/>
      <c r="E75" s="21"/>
      <c r="F75" s="21"/>
      <c r="G75" s="21"/>
      <c r="H75" s="21"/>
      <c r="I75" s="21"/>
      <c r="J75" s="21"/>
      <c r="K75" s="21"/>
    </row>
    <row r="76" spans="1:11">
      <c r="A76" s="21"/>
      <c r="B76" s="21"/>
      <c r="C76" s="21"/>
      <c r="D76" s="21"/>
      <c r="E76" s="21"/>
      <c r="F76" s="21"/>
      <c r="G76" s="21"/>
      <c r="H76" s="21"/>
      <c r="I76" s="21"/>
      <c r="J76" s="21"/>
      <c r="K76" s="21"/>
    </row>
    <row r="77" spans="1:11">
      <c r="A77" s="21"/>
      <c r="B77" s="21"/>
      <c r="C77" s="21"/>
      <c r="D77" s="21"/>
      <c r="E77" s="21"/>
      <c r="F77" s="21"/>
      <c r="G77" s="21"/>
      <c r="H77" s="21"/>
      <c r="I77" s="21"/>
      <c r="J77" s="21"/>
      <c r="K77" s="21"/>
    </row>
    <row r="78" spans="1:11">
      <c r="A78" s="21"/>
      <c r="B78" s="21"/>
      <c r="C78" s="21"/>
      <c r="D78" s="21"/>
      <c r="E78" s="21"/>
      <c r="F78" s="21"/>
      <c r="G78" s="21"/>
      <c r="H78" s="21"/>
      <c r="I78" s="21"/>
      <c r="J78" s="21"/>
      <c r="K78" s="21"/>
    </row>
    <row r="79" spans="1:11">
      <c r="A79" s="21"/>
      <c r="B79" s="21"/>
      <c r="C79" s="21"/>
      <c r="D79" s="21"/>
      <c r="E79" s="21"/>
      <c r="F79" s="21"/>
      <c r="G79" s="21"/>
      <c r="H79" s="21"/>
      <c r="I79" s="21"/>
      <c r="J79" s="21"/>
      <c r="K79" s="21"/>
    </row>
    <row r="80" spans="1:11">
      <c r="A80" s="21"/>
      <c r="B80" s="21"/>
      <c r="C80" s="21"/>
      <c r="D80" s="21"/>
      <c r="E80" s="21"/>
      <c r="F80" s="21"/>
      <c r="G80" s="21"/>
      <c r="H80" s="21"/>
      <c r="I80" s="21"/>
      <c r="J80" s="21"/>
      <c r="K80" s="21"/>
    </row>
    <row r="81" spans="1:11">
      <c r="A81" s="21"/>
      <c r="B81" s="21"/>
      <c r="C81" s="21"/>
      <c r="D81" s="21"/>
      <c r="E81" s="21"/>
      <c r="F81" s="21"/>
      <c r="G81" s="21"/>
      <c r="H81" s="21"/>
      <c r="I81" s="21"/>
      <c r="J81" s="21"/>
      <c r="K81" s="21"/>
    </row>
    <row r="82" spans="1:11">
      <c r="A82" s="21"/>
      <c r="B82" s="21"/>
      <c r="C82" s="21"/>
      <c r="D82" s="21"/>
      <c r="E82" s="21"/>
      <c r="F82" s="21"/>
      <c r="G82" s="21"/>
      <c r="H82" s="21"/>
      <c r="I82" s="21"/>
      <c r="J82" s="21"/>
      <c r="K82" s="21"/>
    </row>
    <row r="83" spans="1:11">
      <c r="A83" s="21"/>
      <c r="B83" s="21"/>
      <c r="C83" s="21"/>
      <c r="D83" s="21"/>
      <c r="E83" s="21"/>
      <c r="F83" s="21"/>
      <c r="G83" s="21"/>
      <c r="H83" s="21"/>
      <c r="I83" s="21"/>
      <c r="J83" s="21"/>
      <c r="K83" s="21"/>
    </row>
    <row r="84" spans="1:11">
      <c r="A84" s="21"/>
      <c r="B84" s="21"/>
      <c r="C84" s="21"/>
      <c r="D84" s="21"/>
      <c r="E84" s="21"/>
      <c r="F84" s="21"/>
      <c r="G84" s="21"/>
      <c r="H84" s="21"/>
      <c r="I84" s="21"/>
      <c r="J84" s="21"/>
      <c r="K84" s="21"/>
    </row>
    <row r="85" spans="1:11">
      <c r="A85" s="21"/>
      <c r="B85" s="21"/>
      <c r="C85" s="21"/>
      <c r="D85" s="21"/>
      <c r="E85" s="21"/>
      <c r="F85" s="21"/>
      <c r="G85" s="21"/>
      <c r="H85" s="21"/>
      <c r="I85" s="21"/>
      <c r="J85" s="21"/>
      <c r="K85" s="21"/>
    </row>
    <row r="86" spans="1:11">
      <c r="A86" s="21"/>
      <c r="B86" s="21"/>
      <c r="C86" s="21"/>
      <c r="D86" s="21"/>
      <c r="E86" s="21"/>
      <c r="F86" s="21"/>
      <c r="G86" s="21"/>
      <c r="H86" s="21"/>
      <c r="I86" s="21"/>
      <c r="J86" s="21"/>
      <c r="K86" s="21"/>
    </row>
    <row r="87" spans="1:11">
      <c r="A87" s="21"/>
      <c r="B87" s="21"/>
      <c r="C87" s="21"/>
      <c r="D87" s="21"/>
      <c r="E87" s="21"/>
      <c r="F87" s="21"/>
      <c r="G87" s="21"/>
      <c r="H87" s="21"/>
      <c r="I87" s="21"/>
      <c r="J87" s="21"/>
      <c r="K87" s="21"/>
    </row>
    <row r="88" spans="1:11">
      <c r="A88" s="21"/>
      <c r="B88" s="21"/>
      <c r="C88" s="21"/>
      <c r="D88" s="21"/>
      <c r="E88" s="21"/>
      <c r="F88" s="21"/>
      <c r="G88" s="21"/>
      <c r="H88" s="21"/>
      <c r="I88" s="21"/>
      <c r="J88" s="21"/>
      <c r="K88" s="21"/>
    </row>
    <row r="89" spans="1:11">
      <c r="A89" s="21"/>
      <c r="B89" s="21"/>
      <c r="C89" s="21"/>
      <c r="D89" s="21"/>
      <c r="E89" s="21"/>
      <c r="F89" s="21"/>
      <c r="G89" s="21"/>
      <c r="H89" s="21"/>
      <c r="I89" s="21"/>
      <c r="J89" s="21"/>
      <c r="K89" s="21"/>
    </row>
    <row r="90" spans="1:11">
      <c r="A90" s="21"/>
      <c r="B90" s="21"/>
      <c r="C90" s="21"/>
      <c r="D90" s="21"/>
      <c r="E90" s="21"/>
      <c r="F90" s="21"/>
      <c r="G90" s="21"/>
      <c r="H90" s="21"/>
      <c r="I90" s="21"/>
      <c r="J90" s="21"/>
      <c r="K90" s="21"/>
    </row>
    <row r="91" spans="1:11">
      <c r="A91" s="21"/>
      <c r="B91" s="21"/>
      <c r="C91" s="21"/>
      <c r="D91" s="21"/>
      <c r="E91" s="21"/>
      <c r="F91" s="21"/>
      <c r="G91" s="21"/>
      <c r="H91" s="21"/>
      <c r="I91" s="21"/>
      <c r="J91" s="21"/>
      <c r="K91" s="21"/>
    </row>
    <row r="92" spans="1:11">
      <c r="A92" s="21"/>
      <c r="B92" s="21"/>
      <c r="C92" s="21"/>
      <c r="D92" s="21"/>
      <c r="E92" s="21"/>
      <c r="F92" s="21"/>
      <c r="G92" s="21"/>
      <c r="H92" s="21"/>
      <c r="I92" s="21"/>
      <c r="J92" s="21"/>
      <c r="K92" s="21"/>
    </row>
    <row r="93" spans="1:11">
      <c r="A93" s="21"/>
      <c r="B93" s="21"/>
      <c r="C93" s="21"/>
      <c r="D93" s="21"/>
      <c r="E93" s="21"/>
      <c r="F93" s="21"/>
      <c r="G93" s="21"/>
      <c r="H93" s="21"/>
      <c r="I93" s="21"/>
      <c r="J93" s="21"/>
      <c r="K93" s="21"/>
    </row>
    <row r="94" spans="1:11">
      <c r="A94" s="21"/>
      <c r="B94" s="21"/>
      <c r="C94" s="21"/>
      <c r="D94" s="21"/>
      <c r="E94" s="21"/>
      <c r="F94" s="21"/>
      <c r="G94" s="21"/>
      <c r="H94" s="21"/>
      <c r="I94" s="21"/>
      <c r="J94" s="21"/>
      <c r="K94" s="21"/>
    </row>
    <row r="95" spans="1:11">
      <c r="A95" s="21"/>
      <c r="B95" s="21"/>
      <c r="C95" s="21"/>
      <c r="D95" s="21"/>
      <c r="E95" s="21"/>
      <c r="F95" s="21"/>
      <c r="G95" s="21"/>
      <c r="H95" s="21"/>
      <c r="I95" s="21"/>
      <c r="J95" s="21"/>
      <c r="K95" s="21"/>
    </row>
    <row r="96" spans="1:11">
      <c r="A96" s="21"/>
      <c r="B96" s="21"/>
      <c r="C96" s="21"/>
      <c r="D96" s="21"/>
      <c r="E96" s="21"/>
      <c r="F96" s="21"/>
      <c r="G96" s="21"/>
      <c r="H96" s="21"/>
      <c r="I96" s="21"/>
      <c r="J96" s="21"/>
      <c r="K96" s="21"/>
    </row>
    <row r="97" spans="1:11">
      <c r="A97" s="21"/>
      <c r="B97" s="21"/>
      <c r="C97" s="21"/>
      <c r="D97" s="21"/>
      <c r="E97" s="21"/>
      <c r="F97" s="21"/>
      <c r="G97" s="21"/>
      <c r="H97" s="21"/>
      <c r="I97" s="21"/>
      <c r="J97" s="21"/>
      <c r="K97" s="21"/>
    </row>
    <row r="98" spans="1:11">
      <c r="A98" s="21"/>
      <c r="B98" s="21"/>
      <c r="C98" s="21"/>
      <c r="D98" s="21"/>
      <c r="E98" s="21"/>
      <c r="F98" s="21"/>
      <c r="G98" s="21"/>
      <c r="H98" s="21"/>
      <c r="I98" s="21"/>
      <c r="J98" s="21"/>
      <c r="K98" s="21"/>
    </row>
    <row r="99" spans="1:11">
      <c r="A99" s="21"/>
      <c r="B99" s="21"/>
      <c r="C99" s="21"/>
      <c r="D99" s="21"/>
      <c r="E99" s="21"/>
      <c r="F99" s="21"/>
      <c r="G99" s="21"/>
      <c r="H99" s="21"/>
      <c r="I99" s="21"/>
      <c r="J99" s="21"/>
      <c r="K99" s="21"/>
    </row>
  </sheetData>
  <sheetProtection formatColumns="0" formatRows="0" insertColumns="0" insertRows="0"/>
  <mergeCells count="10">
    <mergeCell ref="B48:C48"/>
    <mergeCell ref="C49:D49"/>
    <mergeCell ref="C50:D50"/>
    <mergeCell ref="B43:J44"/>
    <mergeCell ref="B45:C45"/>
    <mergeCell ref="F45:G45"/>
    <mergeCell ref="B46:C46"/>
    <mergeCell ref="F46:G46"/>
    <mergeCell ref="B47:C47"/>
    <mergeCell ref="F47:G47"/>
  </mergeCells>
  <printOptions horizontalCentered="1"/>
  <pageMargins left="0.25" right="0.25" top="0.5" bottom="0.5" header="0.3" footer="0.3"/>
  <pageSetup scale="91" orientation="portrait" r:id="rId1"/>
  <headerFooter scaleWithDoc="0">
    <oddHeader>&amp;C&amp;"-,Bold"&amp;20 2023 Income Statement</oddHeader>
  </headerFooter>
  <rowBreaks count="1" manualBreakCount="1">
    <brk id="50" max="10" man="1"/>
  </rowBreaks>
  <drawing r:id="rId2"/>
  <legacyDrawing r:id="rId3"/>
  <mc:AlternateContent xmlns:mc="http://schemas.openxmlformats.org/markup-compatibility/2006">
    <mc:Choice Requires="x14">
      <controls>
        <mc:AlternateContent xmlns:mc="http://schemas.openxmlformats.org/markup-compatibility/2006">
          <mc:Choice Requires="x14">
            <control shapeId="320513" r:id="rId4" name="Button 1">
              <controlPr defaultSize="0" print="0" autoFill="0" autoPict="0" macro="[0]!PasteImageWithBorder_ExtraPage">
                <anchor moveWithCells="1" sizeWithCells="1">
                  <from>
                    <xdr:col>15</xdr:col>
                    <xdr:colOff>365760</xdr:colOff>
                    <xdr:row>3</xdr:row>
                    <xdr:rowOff>0</xdr:rowOff>
                  </from>
                  <to>
                    <xdr:col>18</xdr:col>
                    <xdr:colOff>350520</xdr:colOff>
                    <xdr:row>6</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A2C80-BB14-4C51-AB0E-16CC1ED3D333}">
  <sheetPr codeName="Sheet7">
    <tabColor theme="9" tint="-0.249977111117893"/>
    <pageSetUpPr fitToPage="1"/>
  </sheetPr>
  <dimension ref="A1:AF51"/>
  <sheetViews>
    <sheetView showGridLines="0" showWhiteSpace="0" zoomScale="85" zoomScaleNormal="85" zoomScaleSheetLayoutView="115" workbookViewId="0">
      <selection activeCell="D8" sqref="D8"/>
    </sheetView>
  </sheetViews>
  <sheetFormatPr defaultRowHeight="14.4"/>
  <cols>
    <col min="1" max="1" width="1.6640625" customWidth="1"/>
    <col min="2" max="2" width="1.44140625" customWidth="1"/>
    <col min="3" max="3" width="5.109375" customWidth="1"/>
    <col min="4" max="4" width="5.6640625" customWidth="1"/>
    <col min="5" max="5" width="10" customWidth="1"/>
    <col min="6" max="6" width="1.109375" customWidth="1"/>
    <col min="7" max="7" width="2.109375" customWidth="1"/>
    <col min="8" max="8" width="0.88671875" customWidth="1"/>
    <col min="9" max="9" width="3.44140625" customWidth="1"/>
    <col min="10" max="10" width="2.44140625" customWidth="1"/>
    <col min="11" max="12" width="1" customWidth="1"/>
    <col min="13" max="13" width="4.109375" customWidth="1"/>
    <col min="14" max="14" width="5.6640625" customWidth="1"/>
    <col min="15" max="15" width="3" customWidth="1"/>
    <col min="16" max="16" width="0.109375" customWidth="1"/>
    <col min="17" max="17" width="4.6640625" customWidth="1"/>
    <col min="18" max="18" width="0.6640625" customWidth="1"/>
    <col min="19" max="19" width="1.5546875" customWidth="1"/>
    <col min="20" max="20" width="4.44140625" customWidth="1"/>
    <col min="21" max="21" width="5.6640625" customWidth="1"/>
    <col min="22" max="22" width="1.109375" customWidth="1"/>
    <col min="23" max="24" width="1" customWidth="1"/>
    <col min="25" max="25" width="10.44140625" customWidth="1"/>
    <col min="26" max="26" width="1.33203125" customWidth="1"/>
    <col min="27" max="27" width="8.88671875" customWidth="1"/>
    <col min="28" max="28" width="1.33203125" customWidth="1"/>
    <col min="29" max="29" width="10.109375" bestFit="1" customWidth="1"/>
    <col min="30" max="30" width="1" customWidth="1"/>
    <col min="31" max="31" width="1.88671875" customWidth="1"/>
  </cols>
  <sheetData>
    <row r="1" spans="1:32" ht="4.5" customHeight="1"/>
    <row r="2" spans="1:32" ht="18">
      <c r="C2" s="52" t="s">
        <v>262</v>
      </c>
      <c r="E2" s="386" t="str">
        <f>INPUT!D3</f>
        <v>2026/2027</v>
      </c>
      <c r="F2" s="1012" t="s">
        <v>208</v>
      </c>
      <c r="G2" s="1012"/>
      <c r="H2" s="1012"/>
      <c r="I2" s="1012"/>
      <c r="J2" s="1012"/>
      <c r="K2" s="1012"/>
      <c r="L2" s="1012"/>
      <c r="M2" s="1012"/>
      <c r="N2" s="1012"/>
      <c r="O2" s="1012"/>
      <c r="P2" s="1012"/>
      <c r="Q2" s="1012"/>
      <c r="R2" s="1012"/>
      <c r="S2" s="1012"/>
      <c r="T2" s="1012"/>
      <c r="U2" s="1012"/>
      <c r="V2" s="1012"/>
      <c r="W2" s="1012"/>
      <c r="X2" s="1012"/>
      <c r="Y2" s="1012"/>
      <c r="Z2" s="1012"/>
      <c r="AB2" s="1013">
        <f ca="1">TODAY()</f>
        <v>46232</v>
      </c>
      <c r="AC2" s="1013"/>
      <c r="AD2" s="1013"/>
    </row>
    <row r="3" spans="1:32" ht="3" customHeight="1"/>
    <row r="4" spans="1:32" ht="34.5" customHeight="1">
      <c r="B4" s="387"/>
      <c r="C4" s="388" t="s">
        <v>209</v>
      </c>
      <c r="D4" s="1014">
        <f>INPUT!B30</f>
        <v>107350009</v>
      </c>
      <c r="E4" s="1014"/>
      <c r="F4" s="389"/>
      <c r="G4" s="388" t="s">
        <v>210</v>
      </c>
      <c r="H4" s="388"/>
      <c r="I4" s="388"/>
      <c r="J4" s="388"/>
      <c r="K4" s="1015">
        <f>INPUT!B5</f>
        <v>46031</v>
      </c>
      <c r="L4" s="1015"/>
      <c r="M4" s="1015"/>
      <c r="N4" s="1015"/>
      <c r="O4" s="388" t="s">
        <v>211</v>
      </c>
      <c r="P4" s="388"/>
      <c r="Q4" s="390">
        <v>677</v>
      </c>
      <c r="S4" s="1016" t="str">
        <f>"INCOME APPROACH - ("&amp;INPUT!B45&amp;" RENT)"</f>
        <v>INCOME APPROACH - (NNN RENT)</v>
      </c>
      <c r="T4" s="1017"/>
      <c r="U4" s="1017"/>
      <c r="V4" s="1017"/>
      <c r="W4" s="1017"/>
      <c r="X4" s="1017"/>
      <c r="Y4" s="1017"/>
      <c r="Z4" s="1017"/>
      <c r="AA4" s="1017"/>
      <c r="AB4" s="1017"/>
      <c r="AC4" s="1017"/>
      <c r="AD4" s="1018"/>
    </row>
    <row r="5" spans="1:32" ht="3.75" customHeight="1">
      <c r="S5" s="391"/>
      <c r="AD5" s="392"/>
    </row>
    <row r="6" spans="1:32">
      <c r="B6" s="393"/>
      <c r="C6" s="1009" t="s">
        <v>212</v>
      </c>
      <c r="D6" s="1009"/>
      <c r="E6" s="1009"/>
      <c r="F6" s="1009"/>
      <c r="G6" s="1010"/>
      <c r="I6" s="1011" t="s">
        <v>213</v>
      </c>
      <c r="J6" s="1009"/>
      <c r="K6" s="1009"/>
      <c r="L6" s="1009"/>
      <c r="M6" s="1009"/>
      <c r="N6" s="1009"/>
      <c r="O6" s="1009"/>
      <c r="P6" s="1009"/>
      <c r="Q6" s="1010"/>
      <c r="S6" s="391"/>
      <c r="T6" s="981" t="s">
        <v>82</v>
      </c>
      <c r="U6" s="981"/>
      <c r="V6" s="981"/>
      <c r="W6" s="981"/>
      <c r="X6" s="981"/>
      <c r="Y6" s="981"/>
      <c r="AA6" s="1" t="s">
        <v>214</v>
      </c>
      <c r="AB6" s="1"/>
      <c r="AC6" s="1" t="s">
        <v>215</v>
      </c>
      <c r="AD6" s="392"/>
      <c r="AF6" t="s">
        <v>157</v>
      </c>
    </row>
    <row r="7" spans="1:32" ht="4.5" customHeight="1">
      <c r="B7" s="391"/>
      <c r="G7" s="392"/>
      <c r="I7" s="391"/>
      <c r="Q7" s="392"/>
      <c r="S7" s="391"/>
      <c r="AD7" s="392"/>
    </row>
    <row r="8" spans="1:32">
      <c r="B8" s="391"/>
      <c r="C8" t="s">
        <v>216</v>
      </c>
      <c r="E8" s="1019">
        <f>INPUT!B38</f>
        <v>0.68</v>
      </c>
      <c r="F8" s="1019"/>
      <c r="G8" s="1020"/>
      <c r="I8" s="391" t="s">
        <v>217</v>
      </c>
      <c r="N8" s="1026"/>
      <c r="O8" s="1026"/>
      <c r="P8" s="1026"/>
      <c r="Q8" s="1027"/>
      <c r="S8" s="391"/>
      <c r="T8" s="1023" t="str">
        <f>PROPER(INPUT!B44)</f>
        <v>Light Industrial</v>
      </c>
      <c r="U8" s="1024"/>
      <c r="V8" s="1024"/>
      <c r="W8" s="1024"/>
      <c r="X8" s="1024"/>
      <c r="Y8" s="1025"/>
      <c r="AA8" s="394">
        <f>IF(OR(INPUT!B35=0, INPUT!B35=""),"",INPUT!B35)</f>
        <v>10490</v>
      </c>
      <c r="AB8" s="395"/>
      <c r="AC8" s="396">
        <f>IF(OR(INPUT!B46=0, INPUT!B46=""),"", INPUT!B46)</f>
        <v>1.5</v>
      </c>
      <c r="AD8" s="392"/>
    </row>
    <row r="9" spans="1:32" ht="4.5" customHeight="1">
      <c r="B9" s="391"/>
      <c r="E9" s="397"/>
      <c r="F9" s="397"/>
      <c r="G9" s="398"/>
      <c r="I9" s="391"/>
      <c r="N9" s="397"/>
      <c r="O9" s="397"/>
      <c r="P9" s="397"/>
      <c r="Q9" s="398"/>
      <c r="S9" s="391"/>
      <c r="T9" s="241"/>
      <c r="U9" s="241"/>
      <c r="V9" s="241"/>
      <c r="W9" s="241"/>
      <c r="X9" s="241"/>
      <c r="Y9" s="241"/>
      <c r="AA9" s="399"/>
      <c r="AB9" s="395"/>
      <c r="AC9" s="400"/>
      <c r="AD9" s="392"/>
    </row>
    <row r="10" spans="1:32">
      <c r="B10" s="391"/>
      <c r="C10" t="s">
        <v>218</v>
      </c>
      <c r="E10" s="1028">
        <v>25</v>
      </c>
      <c r="F10" s="1028"/>
      <c r="G10" s="1029"/>
      <c r="I10" s="391" t="s">
        <v>219</v>
      </c>
      <c r="N10" s="1021"/>
      <c r="O10" s="1021"/>
      <c r="P10" s="1021"/>
      <c r="Q10" s="1022"/>
      <c r="S10" s="391"/>
      <c r="T10" s="1023"/>
      <c r="U10" s="1024"/>
      <c r="V10" s="1024"/>
      <c r="W10" s="1024"/>
      <c r="X10" s="1024"/>
      <c r="Y10" s="1025"/>
      <c r="AA10" s="394"/>
      <c r="AB10" s="395"/>
      <c r="AC10" s="396"/>
      <c r="AD10" s="392"/>
    </row>
    <row r="11" spans="1:32" ht="4.5" customHeight="1">
      <c r="B11" s="391"/>
      <c r="E11" s="397"/>
      <c r="F11" s="397"/>
      <c r="G11" s="398"/>
      <c r="I11" s="391"/>
      <c r="N11" s="401"/>
      <c r="O11" s="401"/>
      <c r="P11" s="401"/>
      <c r="Q11" s="402"/>
      <c r="S11" s="391"/>
      <c r="T11" s="241"/>
      <c r="U11" s="241"/>
      <c r="V11" s="241"/>
      <c r="W11" s="241"/>
      <c r="X11" s="241"/>
      <c r="Y11" s="241"/>
      <c r="AA11" s="399"/>
      <c r="AB11" s="395"/>
      <c r="AC11" s="400"/>
      <c r="AD11" s="392"/>
    </row>
    <row r="12" spans="1:32">
      <c r="A12" t="s">
        <v>11</v>
      </c>
      <c r="B12" s="391"/>
      <c r="C12" t="s">
        <v>220</v>
      </c>
      <c r="E12" s="1021">
        <f>IFERROR(IF(ROUND((E8*E10)*43560,-2)=0,"",ROUND((E8*E10)*43560,-2)),"")</f>
        <v>740500</v>
      </c>
      <c r="F12" s="1021"/>
      <c r="G12" s="1022"/>
      <c r="I12" s="391" t="s">
        <v>221</v>
      </c>
      <c r="N12" s="1021"/>
      <c r="O12" s="1021"/>
      <c r="P12" s="1021"/>
      <c r="Q12" s="1022"/>
      <c r="S12" s="391"/>
      <c r="T12" s="1023"/>
      <c r="U12" s="1024"/>
      <c r="V12" s="1024"/>
      <c r="W12" s="1024"/>
      <c r="X12" s="1024"/>
      <c r="Y12" s="1025"/>
      <c r="AA12" s="394"/>
      <c r="AB12" s="395"/>
      <c r="AC12" s="396"/>
      <c r="AD12" s="392"/>
    </row>
    <row r="13" spans="1:32" ht="4.5" customHeight="1">
      <c r="B13" s="391"/>
      <c r="E13" s="397"/>
      <c r="F13" s="397"/>
      <c r="G13" s="398"/>
      <c r="I13" s="391"/>
      <c r="N13" s="401"/>
      <c r="O13" s="401"/>
      <c r="P13" s="401"/>
      <c r="Q13" s="402"/>
      <c r="S13" s="391"/>
      <c r="T13" s="241"/>
      <c r="U13" s="241"/>
      <c r="V13" s="241"/>
      <c r="W13" s="241"/>
      <c r="X13" s="241"/>
      <c r="Y13" s="241"/>
      <c r="AA13" s="399"/>
      <c r="AB13" s="395"/>
      <c r="AC13" s="400"/>
      <c r="AD13" s="392"/>
    </row>
    <row r="14" spans="1:32">
      <c r="B14" s="391"/>
      <c r="C14" t="s">
        <v>222</v>
      </c>
      <c r="E14" s="1019"/>
      <c r="F14" s="1019"/>
      <c r="G14" s="1020"/>
      <c r="I14" s="391"/>
      <c r="N14" s="401"/>
      <c r="O14" s="401"/>
      <c r="P14" s="401"/>
      <c r="Q14" s="402"/>
      <c r="S14" s="391"/>
      <c r="T14" s="1023"/>
      <c r="U14" s="1024"/>
      <c r="V14" s="1024"/>
      <c r="W14" s="1024"/>
      <c r="X14" s="1024"/>
      <c r="Y14" s="1025"/>
      <c r="AA14" s="394"/>
      <c r="AB14" s="395"/>
      <c r="AC14" s="396"/>
      <c r="AD14" s="392"/>
    </row>
    <row r="15" spans="1:32" ht="4.5" customHeight="1">
      <c r="B15" s="391"/>
      <c r="E15" s="397"/>
      <c r="F15" s="397"/>
      <c r="G15" s="398"/>
      <c r="I15" s="391"/>
      <c r="N15" s="401"/>
      <c r="O15" s="401"/>
      <c r="P15" s="401"/>
      <c r="Q15" s="402"/>
      <c r="S15" s="391"/>
      <c r="T15" s="241"/>
      <c r="U15" s="241"/>
      <c r="V15" s="241"/>
      <c r="W15" s="241"/>
      <c r="X15" s="241"/>
      <c r="Y15" s="241"/>
      <c r="AA15" s="399"/>
      <c r="AB15" s="395"/>
      <c r="AC15" s="400"/>
      <c r="AD15" s="392"/>
    </row>
    <row r="16" spans="1:32">
      <c r="B16" s="391"/>
      <c r="C16" t="s">
        <v>223</v>
      </c>
      <c r="E16" s="1019"/>
      <c r="F16" s="1019"/>
      <c r="G16" s="1020"/>
      <c r="I16" s="391" t="s">
        <v>224</v>
      </c>
      <c r="N16" s="1021"/>
      <c r="O16" s="1021"/>
      <c r="P16" s="1021"/>
      <c r="Q16" s="1022"/>
      <c r="S16" s="391"/>
      <c r="T16" s="1023"/>
      <c r="U16" s="1024"/>
      <c r="V16" s="1024"/>
      <c r="W16" s="1024"/>
      <c r="X16" s="1024"/>
      <c r="Y16" s="1025"/>
      <c r="AA16" s="394"/>
      <c r="AB16" s="395"/>
      <c r="AC16" s="396"/>
      <c r="AD16" s="392"/>
    </row>
    <row r="17" spans="2:30" ht="4.5" customHeight="1">
      <c r="B17" s="391"/>
      <c r="E17" s="397"/>
      <c r="F17" s="397"/>
      <c r="G17" s="398"/>
      <c r="I17" s="391"/>
      <c r="N17" s="401"/>
      <c r="O17" s="401"/>
      <c r="P17" s="401"/>
      <c r="Q17" s="402"/>
      <c r="S17" s="391"/>
      <c r="AA17" s="189"/>
      <c r="AD17" s="392"/>
    </row>
    <row r="18" spans="2:30">
      <c r="B18" s="391"/>
      <c r="C18" t="s">
        <v>225</v>
      </c>
      <c r="E18" s="1021" t="str">
        <f>IF(ROUND((E14*E16)*43560,-2)=0,"",ROUND((E14*E16)*43560,-2))</f>
        <v/>
      </c>
      <c r="F18" s="1021"/>
      <c r="G18" s="1022"/>
      <c r="I18" s="391" t="s">
        <v>226</v>
      </c>
      <c r="N18" s="1021"/>
      <c r="O18" s="1021"/>
      <c r="P18" s="1021"/>
      <c r="Q18" s="1022"/>
      <c r="S18" s="391"/>
      <c r="T18" s="1030" t="s">
        <v>227</v>
      </c>
      <c r="U18" s="1030"/>
      <c r="V18" s="1030"/>
      <c r="W18" s="1030"/>
      <c r="X18" s="1030"/>
      <c r="Y18" s="1030"/>
      <c r="AA18" s="404">
        <f>IF(SUM(AA8,AA10,AA12,AA14,AA16)=0,"",SUM(AA8,AA10,AA12,AA14,AA16))</f>
        <v>10490</v>
      </c>
      <c r="AD18" s="392"/>
    </row>
    <row r="19" spans="2:30" ht="4.5" customHeight="1">
      <c r="B19" s="391"/>
      <c r="E19" s="397"/>
      <c r="F19" s="397"/>
      <c r="G19" s="398"/>
      <c r="I19" s="391"/>
      <c r="N19" s="189"/>
      <c r="O19" s="405"/>
      <c r="P19" s="405"/>
      <c r="Q19" s="406"/>
      <c r="S19" s="391"/>
      <c r="T19" s="403"/>
      <c r="U19" s="403"/>
      <c r="V19" s="403"/>
      <c r="W19" s="403"/>
      <c r="X19" s="403"/>
      <c r="Y19" s="403"/>
      <c r="AA19" s="407"/>
      <c r="AD19" s="392"/>
    </row>
    <row r="20" spans="2:30" ht="10.5" customHeight="1">
      <c r="B20" s="408"/>
      <c r="C20" s="409"/>
      <c r="D20" s="409"/>
      <c r="E20" s="409"/>
      <c r="F20" s="409"/>
      <c r="G20" s="410"/>
      <c r="I20" s="411"/>
      <c r="J20" s="409"/>
      <c r="K20" s="409"/>
      <c r="L20" s="409"/>
      <c r="M20" s="409"/>
      <c r="N20" s="409"/>
      <c r="O20" s="409"/>
      <c r="P20" s="409"/>
      <c r="Q20" s="410"/>
      <c r="S20" s="391"/>
      <c r="T20" s="412" t="s">
        <v>228</v>
      </c>
      <c r="U20" s="412"/>
      <c r="V20" s="412"/>
      <c r="W20" s="412"/>
      <c r="X20" s="412"/>
      <c r="Y20" s="412"/>
      <c r="Z20" s="412"/>
      <c r="AA20" s="412"/>
      <c r="AB20" s="412"/>
      <c r="AC20" s="413">
        <f>IFERROR(IF(((AA8*AC8)+(AA10*AC10)+(AA12*AC12)+(AA14*AC14)+(AA16*AC16))*12=0,"",((AA8*AC8)+(AA10*AC10)+(AA12*AC12)+(AA14*AC14)+(AA16*AC16))*12),"")</f>
        <v>188820</v>
      </c>
      <c r="AD20" s="414"/>
    </row>
    <row r="21" spans="2:30" ht="3.75" customHeight="1">
      <c r="S21" s="391"/>
      <c r="T21" s="412"/>
      <c r="U21" s="412"/>
      <c r="V21" s="412"/>
      <c r="W21" s="412"/>
      <c r="X21" s="412"/>
      <c r="Y21" s="412"/>
      <c r="Z21" s="412"/>
      <c r="AA21" s="412"/>
      <c r="AB21" s="412"/>
      <c r="AC21" s="413"/>
      <c r="AD21" s="414"/>
    </row>
    <row r="22" spans="2:30">
      <c r="B22" s="393"/>
      <c r="C22" s="1009" t="s">
        <v>229</v>
      </c>
      <c r="D22" s="1009"/>
      <c r="E22" s="1009"/>
      <c r="F22" s="1009"/>
      <c r="G22" s="1009"/>
      <c r="H22" s="1009"/>
      <c r="I22" s="1009"/>
      <c r="J22" s="1009"/>
      <c r="K22" s="1009"/>
      <c r="L22" s="1009"/>
      <c r="M22" s="1009"/>
      <c r="N22" s="1009"/>
      <c r="O22" s="1009"/>
      <c r="P22" s="1009"/>
      <c r="Q22" s="1010"/>
      <c r="S22" s="391"/>
      <c r="T22" s="412" t="s">
        <v>230</v>
      </c>
      <c r="U22" s="412"/>
      <c r="V22" s="412"/>
      <c r="W22" s="412"/>
      <c r="X22" s="412"/>
      <c r="Y22" s="412"/>
      <c r="Z22" s="412"/>
      <c r="AA22" s="415">
        <f>INPUT!B47</f>
        <v>0.05</v>
      </c>
      <c r="AB22" s="412"/>
      <c r="AC22" s="413">
        <f>IFERROR(IF(AA22*AC20=0,"",AA22*AC20),"")</f>
        <v>9441</v>
      </c>
      <c r="AD22" s="414"/>
    </row>
    <row r="23" spans="2:30" ht="5.25" customHeight="1">
      <c r="B23" s="391"/>
      <c r="C23" s="1"/>
      <c r="D23" s="1"/>
      <c r="E23" s="1"/>
      <c r="F23" s="1"/>
      <c r="G23" s="1"/>
      <c r="H23" s="1"/>
      <c r="I23" s="1"/>
      <c r="J23" s="1"/>
      <c r="K23" s="1"/>
      <c r="L23" s="1"/>
      <c r="M23" s="1"/>
      <c r="N23" s="1"/>
      <c r="O23" s="1"/>
      <c r="P23" s="1"/>
      <c r="Q23" s="416"/>
      <c r="S23" s="391"/>
      <c r="T23" s="412"/>
      <c r="U23" s="412"/>
      <c r="V23" s="412"/>
      <c r="W23" s="412"/>
      <c r="X23" s="412"/>
      <c r="Y23" s="412"/>
      <c r="Z23" s="412"/>
      <c r="AA23" s="417"/>
      <c r="AB23" s="412"/>
      <c r="AC23" s="413"/>
      <c r="AD23" s="414"/>
    </row>
    <row r="24" spans="2:30" ht="15" customHeight="1">
      <c r="B24" s="391"/>
      <c r="C24" s="16" t="s">
        <v>231</v>
      </c>
      <c r="D24" s="16"/>
      <c r="E24" s="1031"/>
      <c r="F24" s="1032"/>
      <c r="G24" s="1032"/>
      <c r="H24" s="1033"/>
      <c r="I24" s="395"/>
      <c r="J24" s="1031"/>
      <c r="K24" s="1032"/>
      <c r="L24" s="1032"/>
      <c r="M24" s="1032"/>
      <c r="N24" s="1032"/>
      <c r="O24" s="1032"/>
      <c r="P24" s="1033"/>
      <c r="Q24" s="392"/>
      <c r="S24" s="391"/>
      <c r="T24" s="412" t="s">
        <v>232</v>
      </c>
      <c r="U24" s="412"/>
      <c r="V24" s="412"/>
      <c r="W24" s="412"/>
      <c r="X24" s="412"/>
      <c r="Y24" s="412"/>
      <c r="Z24" s="412"/>
      <c r="AA24" s="412"/>
      <c r="AB24" s="412"/>
      <c r="AC24" s="413">
        <f>IFERROR(AC20-AC22,"")</f>
        <v>179379</v>
      </c>
      <c r="AD24" s="414"/>
    </row>
    <row r="25" spans="2:30" ht="5.25" customHeight="1">
      <c r="B25" s="391"/>
      <c r="C25" s="16"/>
      <c r="D25" s="16"/>
      <c r="E25" s="395"/>
      <c r="F25" s="395"/>
      <c r="G25" s="395"/>
      <c r="H25" s="395"/>
      <c r="I25" s="395"/>
      <c r="J25" s="395"/>
      <c r="K25" s="395"/>
      <c r="L25" s="395"/>
      <c r="M25" s="395"/>
      <c r="N25" s="395"/>
      <c r="O25" s="395"/>
      <c r="P25" s="395"/>
      <c r="Q25" s="392"/>
      <c r="S25" s="391"/>
      <c r="T25" s="412"/>
      <c r="U25" s="412"/>
      <c r="V25" s="412"/>
      <c r="W25" s="412"/>
      <c r="X25" s="412"/>
      <c r="Y25" s="412"/>
      <c r="Z25" s="412"/>
      <c r="AA25" s="412"/>
      <c r="AB25" s="412"/>
      <c r="AC25" s="413"/>
      <c r="AD25" s="414"/>
    </row>
    <row r="26" spans="2:30" ht="15" customHeight="1">
      <c r="B26" s="391"/>
      <c r="C26" s="16" t="s">
        <v>233</v>
      </c>
      <c r="D26" s="16"/>
      <c r="E26" s="1034">
        <f>IFERROR(IF(J26*INPUT!B34=0,"",J26*INPUT!B34),"")</f>
        <v>3933750</v>
      </c>
      <c r="F26" s="1035"/>
      <c r="G26" s="1035"/>
      <c r="H26" s="1036"/>
      <c r="I26" s="395"/>
      <c r="J26" s="1037">
        <f>IF('Sales Grid'!B41="","",'Sales Grid'!B41)</f>
        <v>375</v>
      </c>
      <c r="K26" s="1032"/>
      <c r="L26" s="1032"/>
      <c r="M26" s="1032"/>
      <c r="N26" s="1032"/>
      <c r="O26" s="1032"/>
      <c r="P26" s="1033"/>
      <c r="Q26" s="392"/>
      <c r="S26" s="391"/>
      <c r="T26" s="412" t="s">
        <v>234</v>
      </c>
      <c r="U26" s="412"/>
      <c r="V26" s="412"/>
      <c r="W26" s="412"/>
      <c r="X26" s="412"/>
      <c r="Y26" s="412"/>
      <c r="Z26" s="412"/>
      <c r="AA26" s="415">
        <f>INPUT!B48</f>
        <v>0.05</v>
      </c>
      <c r="AB26" s="412"/>
      <c r="AC26" s="413">
        <f>IFERROR(IF(AC24*AA26=0,"",AC24*AA26),"")</f>
        <v>8968.9500000000007</v>
      </c>
      <c r="AD26" s="414"/>
    </row>
    <row r="27" spans="2:30" ht="5.25" customHeight="1">
      <c r="B27" s="391"/>
      <c r="C27" s="16"/>
      <c r="D27" s="16"/>
      <c r="E27" s="395"/>
      <c r="F27" s="395"/>
      <c r="G27" s="395"/>
      <c r="H27" s="395"/>
      <c r="I27" s="395"/>
      <c r="J27" s="395"/>
      <c r="K27" s="395"/>
      <c r="L27" s="395"/>
      <c r="M27" s="395"/>
      <c r="N27" s="395"/>
      <c r="O27" s="395"/>
      <c r="P27" s="395"/>
      <c r="Q27" s="392"/>
      <c r="S27" s="391"/>
      <c r="T27" s="412"/>
      <c r="U27" s="412"/>
      <c r="V27" s="412"/>
      <c r="W27" s="412"/>
      <c r="X27" s="412"/>
      <c r="Y27" s="412"/>
      <c r="Z27" s="412"/>
      <c r="AA27" s="412"/>
      <c r="AB27" s="412"/>
      <c r="AC27" s="413"/>
      <c r="AD27" s="414"/>
    </row>
    <row r="28" spans="2:30" ht="15" customHeight="1">
      <c r="B28" s="391"/>
      <c r="C28" s="1008" t="s">
        <v>235</v>
      </c>
      <c r="D28" s="1008"/>
      <c r="E28" s="1034"/>
      <c r="F28" s="1035"/>
      <c r="G28" s="1035"/>
      <c r="H28" s="1036"/>
      <c r="I28" s="395"/>
      <c r="J28" s="1038"/>
      <c r="K28" s="1039"/>
      <c r="L28" s="1039"/>
      <c r="M28" s="1039"/>
      <c r="N28" s="1039"/>
      <c r="O28" s="1039"/>
      <c r="P28" s="1040"/>
      <c r="Q28" s="392"/>
      <c r="S28" s="391"/>
      <c r="T28" s="412" t="s">
        <v>236</v>
      </c>
      <c r="U28" s="412"/>
      <c r="V28" s="412"/>
      <c r="W28" s="412"/>
      <c r="X28" s="412"/>
      <c r="Y28" s="412"/>
      <c r="Z28" s="412"/>
      <c r="AA28" s="412"/>
      <c r="AB28" s="412"/>
      <c r="AC28" s="413">
        <f>IFERROR(AC24-AC26,"")</f>
        <v>170410.05</v>
      </c>
      <c r="AD28" s="414"/>
    </row>
    <row r="29" spans="2:30" ht="3.75" customHeight="1">
      <c r="B29" s="391"/>
      <c r="C29" s="16"/>
      <c r="D29" s="16"/>
      <c r="Q29" s="392"/>
      <c r="S29" s="391"/>
      <c r="T29" s="412"/>
      <c r="U29" s="412"/>
      <c r="V29" s="412"/>
      <c r="W29" s="412"/>
      <c r="X29" s="412"/>
      <c r="Y29" s="412"/>
      <c r="Z29" s="412"/>
      <c r="AA29" s="412"/>
      <c r="AB29" s="412"/>
      <c r="AC29" s="418"/>
      <c r="AD29" s="414"/>
    </row>
    <row r="30" spans="2:30" ht="15" customHeight="1">
      <c r="B30" s="391"/>
      <c r="C30" s="1008"/>
      <c r="D30" s="1008"/>
      <c r="E30" s="981"/>
      <c r="F30" s="981"/>
      <c r="G30" s="981"/>
      <c r="H30" s="981"/>
      <c r="J30" s="981"/>
      <c r="K30" s="981"/>
      <c r="L30" s="981"/>
      <c r="M30" s="981"/>
      <c r="N30" s="981"/>
      <c r="O30" s="981"/>
      <c r="P30" s="1"/>
      <c r="Q30" s="392"/>
      <c r="S30" s="391"/>
      <c r="T30" s="412" t="s">
        <v>237</v>
      </c>
      <c r="U30" s="1041">
        <f>INPUT!B51</f>
        <v>5.2499999999999998E-2</v>
      </c>
      <c r="V30" s="1042"/>
      <c r="W30" s="419"/>
      <c r="X30" s="419"/>
      <c r="Y30" s="1043" t="s">
        <v>238</v>
      </c>
      <c r="Z30" s="1043"/>
      <c r="AA30" s="1043"/>
      <c r="AB30" s="412"/>
      <c r="AC30" s="420">
        <f>IFERROR(IF(AC28/U30=0,"",AC28/U30),"")</f>
        <v>3245905.7142857141</v>
      </c>
      <c r="AD30" s="414"/>
    </row>
    <row r="31" spans="2:30" ht="5.25" customHeight="1">
      <c r="B31" s="408"/>
      <c r="C31" s="409"/>
      <c r="D31" s="409"/>
      <c r="E31" s="409"/>
      <c r="F31" s="409"/>
      <c r="G31" s="409"/>
      <c r="H31" s="409"/>
      <c r="I31" s="409"/>
      <c r="J31" s="409"/>
      <c r="K31" s="409"/>
      <c r="L31" s="409"/>
      <c r="M31" s="409"/>
      <c r="N31" s="409"/>
      <c r="O31" s="409"/>
      <c r="P31" s="409"/>
      <c r="Q31" s="410"/>
      <c r="S31" s="408"/>
      <c r="T31" s="421"/>
      <c r="U31" s="421"/>
      <c r="V31" s="421"/>
      <c r="W31" s="421"/>
      <c r="X31" s="421"/>
      <c r="Y31" s="421"/>
      <c r="Z31" s="421"/>
      <c r="AA31" s="421"/>
      <c r="AB31" s="421"/>
      <c r="AC31" s="421"/>
      <c r="AD31" s="422"/>
    </row>
    <row r="32" spans="2:30" ht="6.75" customHeight="1"/>
    <row r="33" spans="2:30" ht="4.5" customHeight="1">
      <c r="B33" s="423"/>
      <c r="C33" s="423"/>
      <c r="D33" s="423"/>
      <c r="E33" s="423"/>
      <c r="F33" s="423"/>
      <c r="G33" s="423"/>
      <c r="H33" s="423"/>
      <c r="I33" s="423"/>
      <c r="J33" s="423"/>
      <c r="K33" s="423"/>
      <c r="L33" s="423"/>
      <c r="M33" s="423"/>
      <c r="N33" s="423"/>
      <c r="O33" s="423"/>
      <c r="P33" s="423"/>
      <c r="Q33" s="423"/>
      <c r="R33" s="423"/>
      <c r="S33" s="423"/>
      <c r="T33" s="423"/>
      <c r="U33" s="423"/>
      <c r="V33" s="423"/>
      <c r="W33" s="423"/>
      <c r="X33" s="423"/>
      <c r="Y33" s="423"/>
      <c r="Z33" s="423"/>
      <c r="AA33" s="423"/>
      <c r="AB33" s="423"/>
      <c r="AC33" s="423"/>
      <c r="AD33" s="423"/>
    </row>
    <row r="34" spans="2:30" ht="24.75" customHeight="1">
      <c r="C34" s="1044" t="s">
        <v>51</v>
      </c>
      <c r="D34" s="1044"/>
      <c r="E34" s="1044"/>
      <c r="F34" s="1044"/>
      <c r="G34" s="1044"/>
      <c r="H34" s="1044"/>
      <c r="I34" s="1044"/>
      <c r="J34" s="1044"/>
      <c r="K34" s="1044"/>
      <c r="L34" s="1044"/>
      <c r="M34" s="1044"/>
      <c r="N34" s="1044"/>
      <c r="O34" s="1044"/>
      <c r="P34" s="1044"/>
      <c r="Q34" s="1044"/>
      <c r="R34" s="1044"/>
      <c r="S34" s="1044"/>
      <c r="T34" s="1044"/>
      <c r="U34" s="1044"/>
      <c r="V34" s="1044"/>
      <c r="W34" s="1044"/>
      <c r="X34" s="1044"/>
      <c r="Y34" s="1044"/>
      <c r="Z34" s="1044"/>
      <c r="AA34" s="1044"/>
      <c r="AB34" s="1044"/>
      <c r="AC34" s="1044"/>
      <c r="AD34" s="1044"/>
    </row>
    <row r="35" spans="2:30">
      <c r="B35" s="1011" t="s">
        <v>239</v>
      </c>
      <c r="C35" s="1009"/>
      <c r="D35" s="1009"/>
      <c r="E35" s="1009"/>
      <c r="F35" s="1009"/>
      <c r="G35" s="1009"/>
      <c r="H35" s="1009"/>
      <c r="I35" s="1009"/>
      <c r="J35" s="1010"/>
      <c r="L35" s="1011" t="s">
        <v>240</v>
      </c>
      <c r="M35" s="1009"/>
      <c r="N35" s="1009"/>
      <c r="O35" s="1009"/>
      <c r="P35" s="1009"/>
      <c r="Q35" s="1009"/>
      <c r="R35" s="1009"/>
      <c r="S35" s="1009"/>
      <c r="T35" s="1009"/>
      <c r="U35" s="1009"/>
      <c r="V35" s="1010"/>
      <c r="X35" s="1011" t="s">
        <v>241</v>
      </c>
      <c r="Y35" s="1009"/>
      <c r="Z35" s="1009"/>
      <c r="AA35" s="1009"/>
      <c r="AB35" s="1009"/>
      <c r="AC35" s="1009"/>
      <c r="AD35" s="1010"/>
    </row>
    <row r="36" spans="2:30" ht="12" customHeight="1">
      <c r="B36" s="391"/>
      <c r="G36" s="1045" t="s">
        <v>242</v>
      </c>
      <c r="H36" s="1045"/>
      <c r="I36" s="1045"/>
      <c r="J36" s="392"/>
      <c r="L36" s="391"/>
      <c r="V36" s="392"/>
      <c r="X36" s="391"/>
      <c r="AD36" s="392"/>
    </row>
    <row r="37" spans="2:30" ht="12.75" customHeight="1">
      <c r="B37" s="391"/>
      <c r="C37" s="52" t="s">
        <v>243</v>
      </c>
      <c r="D37" s="52"/>
      <c r="E37" s="424">
        <f>INPUT!B26</f>
        <v>3928960</v>
      </c>
      <c r="G37" s="1046">
        <f>IFERROR(IF(E37/AA18=0,"",E37/AA18),"")</f>
        <v>374.54337464251671</v>
      </c>
      <c r="H37" s="1047"/>
      <c r="I37" s="1048"/>
      <c r="J37" s="392"/>
      <c r="L37" s="391"/>
      <c r="M37" s="52" t="s">
        <v>244</v>
      </c>
      <c r="N37" s="52"/>
      <c r="O37" s="52"/>
      <c r="P37" s="52"/>
      <c r="Q37" s="1049">
        <f>E46</f>
        <v>3188000</v>
      </c>
      <c r="R37" s="1049"/>
      <c r="S37" s="1049"/>
      <c r="T37" s="1049"/>
      <c r="U37" s="1049"/>
      <c r="V37" s="392"/>
      <c r="X37" s="391"/>
      <c r="Y37" t="s">
        <v>245</v>
      </c>
      <c r="AA37" s="1021">
        <f>IFERROR(AA45+AC43,"")</f>
        <v>3930000</v>
      </c>
      <c r="AB37" s="1021"/>
      <c r="AC37" s="1021"/>
      <c r="AD37" s="392"/>
    </row>
    <row r="38" spans="2:30" ht="12.75" customHeight="1">
      <c r="B38" s="391"/>
      <c r="C38" s="52"/>
      <c r="D38" s="52"/>
      <c r="J38" s="392"/>
      <c r="L38" s="391"/>
      <c r="M38" s="52" t="s">
        <v>246</v>
      </c>
      <c r="N38" s="52"/>
      <c r="O38" s="52"/>
      <c r="P38" s="52"/>
      <c r="Q38" s="413"/>
      <c r="R38" s="1050"/>
      <c r="S38" s="1050"/>
      <c r="T38" s="1050"/>
      <c r="U38" s="1050"/>
      <c r="V38" s="392"/>
      <c r="X38" s="391"/>
      <c r="AD38" s="392"/>
    </row>
    <row r="39" spans="2:30" ht="12.75" customHeight="1">
      <c r="B39" s="391"/>
      <c r="C39" s="52" t="s">
        <v>247</v>
      </c>
      <c r="D39" s="52"/>
      <c r="E39" s="189" cm="1">
        <f t="array" ref="E39:F39">'Lease Up'!I3:J3</f>
        <v>0</v>
      </c>
      <c r="F39">
        <v>0</v>
      </c>
      <c r="J39" s="392"/>
      <c r="L39" s="391"/>
      <c r="M39" s="52" t="s">
        <v>248</v>
      </c>
      <c r="N39" s="52"/>
      <c r="O39" s="52"/>
      <c r="P39" s="52"/>
      <c r="Q39" s="1051"/>
      <c r="R39" s="1051"/>
      <c r="S39" s="1051"/>
      <c r="T39" s="1051"/>
      <c r="U39" s="1051"/>
      <c r="V39" s="392"/>
      <c r="X39" s="391"/>
      <c r="Y39" t="s">
        <v>249</v>
      </c>
      <c r="AC39" s="189">
        <f>E12</f>
        <v>740500</v>
      </c>
      <c r="AD39" s="392"/>
    </row>
    <row r="40" spans="2:30" ht="12.75" customHeight="1">
      <c r="B40" s="391"/>
      <c r="C40" s="426"/>
      <c r="D40" s="426"/>
      <c r="E40" s="427"/>
      <c r="J40" s="392"/>
      <c r="L40" s="391"/>
      <c r="M40" s="52" t="s">
        <v>250</v>
      </c>
      <c r="N40" s="52"/>
      <c r="O40" s="52"/>
      <c r="P40" s="52"/>
      <c r="Q40" s="1051"/>
      <c r="R40" s="1051"/>
      <c r="S40" s="1051"/>
      <c r="T40" s="1051"/>
      <c r="U40" s="1051"/>
      <c r="V40" s="392"/>
      <c r="X40" s="391"/>
      <c r="AD40" s="392"/>
    </row>
    <row r="41" spans="2:30" ht="12.75" customHeight="1">
      <c r="B41" s="391"/>
      <c r="C41" s="52" t="s">
        <v>251</v>
      </c>
      <c r="D41" s="52"/>
      <c r="E41" s="424">
        <f>IF(OR(IFERROR(E37-E39,0)=0,ISERROR(E37-E39)),"",E37-E39)</f>
        <v>3928960</v>
      </c>
      <c r="J41" s="392"/>
      <c r="L41" s="391"/>
      <c r="M41" s="52" t="s">
        <v>252</v>
      </c>
      <c r="N41" s="52"/>
      <c r="O41" s="52"/>
      <c r="P41" s="52"/>
      <c r="Q41" s="1051"/>
      <c r="R41" s="1051"/>
      <c r="S41" s="1051"/>
      <c r="T41" s="1051"/>
      <c r="U41" s="1051"/>
      <c r="V41" s="392"/>
      <c r="X41" s="391"/>
      <c r="Y41" t="s">
        <v>253</v>
      </c>
      <c r="AC41" s="189" t="str">
        <f>E18</f>
        <v/>
      </c>
      <c r="AD41" s="392"/>
    </row>
    <row r="42" spans="2:30" ht="8.25" customHeight="1">
      <c r="B42" s="391"/>
      <c r="C42" s="52"/>
      <c r="D42" s="52"/>
      <c r="E42" s="189"/>
      <c r="J42" s="392"/>
      <c r="L42" s="391"/>
      <c r="M42" s="52"/>
      <c r="N42" s="52"/>
      <c r="O42" s="52"/>
      <c r="P42" s="52"/>
      <c r="Q42" s="52"/>
      <c r="R42" s="52"/>
      <c r="S42" s="428"/>
      <c r="T42" s="428"/>
      <c r="U42" s="429"/>
      <c r="V42" s="392"/>
      <c r="X42" s="391"/>
      <c r="AD42" s="392"/>
    </row>
    <row r="43" spans="2:30" ht="20.25" customHeight="1">
      <c r="B43" s="391"/>
      <c r="C43" s="52" t="s">
        <v>254</v>
      </c>
      <c r="D43" s="52"/>
      <c r="E43" s="189">
        <f>MROUND(E12,1000)</f>
        <v>741000</v>
      </c>
      <c r="J43" s="392"/>
      <c r="L43" s="391"/>
      <c r="M43" s="430" t="s">
        <v>255</v>
      </c>
      <c r="N43" s="430"/>
      <c r="O43" s="431"/>
      <c r="P43" s="431"/>
      <c r="Q43" s="1056">
        <f>MROUND(Q37-Q40,1000)</f>
        <v>3188000</v>
      </c>
      <c r="R43" s="1056"/>
      <c r="S43" s="1056"/>
      <c r="T43" s="1056"/>
      <c r="U43" s="1056"/>
      <c r="V43" s="392"/>
      <c r="X43" s="391"/>
      <c r="Y43" s="2" t="s">
        <v>256</v>
      </c>
      <c r="AC43" s="189">
        <f>IFERROR( IF(E18="", MROUND(AC39,5000), MROUND(AC39+AC41,5000)), "" )</f>
        <v>740000</v>
      </c>
      <c r="AD43" s="392"/>
    </row>
    <row r="44" spans="2:30" ht="7.5" customHeight="1">
      <c r="B44" s="391"/>
      <c r="C44" s="52"/>
      <c r="D44" s="52"/>
      <c r="E44" s="189"/>
      <c r="J44" s="392"/>
      <c r="L44" s="391"/>
      <c r="M44" s="431"/>
      <c r="N44" s="431"/>
      <c r="O44" s="431"/>
      <c r="P44" s="431"/>
      <c r="Q44" s="431"/>
      <c r="R44" s="431"/>
      <c r="S44" s="432"/>
      <c r="T44" s="432"/>
      <c r="U44" s="433"/>
      <c r="V44" s="392"/>
      <c r="X44" s="391"/>
      <c r="AD44" s="392"/>
    </row>
    <row r="45" spans="2:30" ht="12.75" customHeight="1">
      <c r="B45" s="391"/>
      <c r="C45" s="52"/>
      <c r="D45" s="52"/>
      <c r="E45" s="189"/>
      <c r="G45" s="1045" t="s">
        <v>242</v>
      </c>
      <c r="H45" s="1045"/>
      <c r="I45" s="1045"/>
      <c r="J45" s="392"/>
      <c r="L45" s="391"/>
      <c r="M45" s="52" t="s">
        <v>257</v>
      </c>
      <c r="N45" s="52"/>
      <c r="O45" s="52"/>
      <c r="P45" s="52"/>
      <c r="Q45" s="1051"/>
      <c r="R45" s="1051"/>
      <c r="S45" s="1051"/>
      <c r="T45" s="1051"/>
      <c r="U45" s="1051"/>
      <c r="V45" s="392"/>
      <c r="X45" s="391"/>
      <c r="Y45" t="s">
        <v>258</v>
      </c>
      <c r="AA45" s="1021">
        <f>IFERROR(IF(Q43="", MROUND(E46,5000), MROUND(Q43,5000)),"")</f>
        <v>3190000</v>
      </c>
      <c r="AB45" s="1021"/>
      <c r="AC45" s="1021"/>
      <c r="AD45" s="392"/>
    </row>
    <row r="46" spans="2:30" ht="12.75" customHeight="1">
      <c r="B46" s="391"/>
      <c r="C46" s="431" t="s">
        <v>244</v>
      </c>
      <c r="D46" s="431"/>
      <c r="E46" s="434">
        <f>MROUND(IFERROR(E41-E43,""),1000)</f>
        <v>3188000</v>
      </c>
      <c r="G46" s="1052">
        <f>IFERROR(E46/AA18,"")</f>
        <v>303.90848427073405</v>
      </c>
      <c r="H46" s="1053"/>
      <c r="I46" s="1054"/>
      <c r="J46" s="392"/>
      <c r="L46" s="391"/>
      <c r="M46" s="52"/>
      <c r="N46" s="52"/>
      <c r="O46" s="52"/>
      <c r="P46" s="52"/>
      <c r="Q46" s="52"/>
      <c r="R46" s="52"/>
      <c r="S46" s="428"/>
      <c r="T46" s="425"/>
      <c r="U46" s="401"/>
      <c r="V46" s="392"/>
      <c r="X46" s="391"/>
      <c r="AD46" s="392"/>
    </row>
    <row r="47" spans="2:30" ht="23.25" customHeight="1">
      <c r="B47" s="391"/>
      <c r="E47" s="189"/>
      <c r="J47" s="392"/>
      <c r="L47" s="391"/>
      <c r="M47" s="430" t="s">
        <v>259</v>
      </c>
      <c r="N47" s="430"/>
      <c r="O47" s="431"/>
      <c r="P47" s="431"/>
      <c r="Q47" s="1055">
        <f>Q45+Q43</f>
        <v>3188000</v>
      </c>
      <c r="R47" s="1055"/>
      <c r="S47" s="1055"/>
      <c r="T47" s="1055"/>
      <c r="U47" s="1055"/>
      <c r="V47" s="392"/>
      <c r="X47" s="391"/>
      <c r="AD47" s="392"/>
    </row>
    <row r="48" spans="2:30" ht="3.75" customHeight="1">
      <c r="B48" s="408"/>
      <c r="C48" s="409"/>
      <c r="D48" s="409"/>
      <c r="E48" s="409"/>
      <c r="F48" s="409"/>
      <c r="G48" s="409"/>
      <c r="H48" s="409"/>
      <c r="I48" s="409"/>
      <c r="J48" s="410"/>
      <c r="L48" s="408"/>
      <c r="M48" s="409"/>
      <c r="N48" s="409"/>
      <c r="O48" s="409"/>
      <c r="P48" s="409"/>
      <c r="Q48" s="409"/>
      <c r="R48" s="409"/>
      <c r="S48" s="409"/>
      <c r="T48" s="409"/>
      <c r="U48" s="409"/>
      <c r="V48" s="410"/>
      <c r="X48" s="408"/>
      <c r="Y48" s="409"/>
      <c r="Z48" s="409"/>
      <c r="AA48" s="409"/>
      <c r="AB48" s="409"/>
      <c r="AC48" s="409"/>
      <c r="AD48" s="410"/>
    </row>
    <row r="49" spans="2:30" ht="6.75" customHeight="1"/>
    <row r="50" spans="2:30" ht="4.5" customHeight="1">
      <c r="B50" s="423"/>
      <c r="C50" s="423"/>
      <c r="D50" s="423"/>
      <c r="E50" s="423"/>
      <c r="F50" s="423"/>
      <c r="G50" s="423"/>
      <c r="H50" s="423"/>
      <c r="I50" s="423"/>
      <c r="J50" s="423"/>
      <c r="K50" s="423"/>
      <c r="L50" s="423"/>
      <c r="M50" s="423"/>
      <c r="N50" s="423"/>
      <c r="O50" s="423"/>
      <c r="P50" s="423"/>
      <c r="Q50" s="423"/>
      <c r="R50" s="423"/>
      <c r="S50" s="423"/>
      <c r="T50" s="423"/>
      <c r="U50" s="423"/>
      <c r="V50" s="423"/>
      <c r="W50" s="423"/>
      <c r="X50" s="423"/>
      <c r="Y50" s="423"/>
      <c r="Z50" s="423"/>
      <c r="AA50" s="423"/>
      <c r="AB50" s="423"/>
      <c r="AC50" s="423"/>
      <c r="AD50" s="423"/>
    </row>
    <row r="51" spans="2:30">
      <c r="C51" s="13"/>
    </row>
  </sheetData>
  <sheetProtection formatColumns="0" formatRows="0" insertColumns="0" insertRows="0"/>
  <protectedRanges>
    <protectedRange sqref="E28:H28" name="Range1_1"/>
  </protectedRanges>
  <mergeCells count="56">
    <mergeCell ref="G46:I46"/>
    <mergeCell ref="Q47:U47"/>
    <mergeCell ref="Q40:U40"/>
    <mergeCell ref="Q41:U41"/>
    <mergeCell ref="Q43:U43"/>
    <mergeCell ref="G45:I45"/>
    <mergeCell ref="Q45:U45"/>
    <mergeCell ref="AA45:AC45"/>
    <mergeCell ref="G36:I36"/>
    <mergeCell ref="G37:I37"/>
    <mergeCell ref="Q37:U37"/>
    <mergeCell ref="AA37:AC37"/>
    <mergeCell ref="R38:U38"/>
    <mergeCell ref="Q39:U39"/>
    <mergeCell ref="U30:V30"/>
    <mergeCell ref="Y30:AA30"/>
    <mergeCell ref="C34:AD34"/>
    <mergeCell ref="B35:J35"/>
    <mergeCell ref="L35:V35"/>
    <mergeCell ref="X35:AD35"/>
    <mergeCell ref="C30:D30"/>
    <mergeCell ref="E30:H30"/>
    <mergeCell ref="J30:O30"/>
    <mergeCell ref="E26:H26"/>
    <mergeCell ref="J26:P26"/>
    <mergeCell ref="C28:D28"/>
    <mergeCell ref="E28:H28"/>
    <mergeCell ref="J28:P28"/>
    <mergeCell ref="E18:G18"/>
    <mergeCell ref="N18:Q18"/>
    <mergeCell ref="T18:Y18"/>
    <mergeCell ref="C22:Q22"/>
    <mergeCell ref="E24:H24"/>
    <mergeCell ref="J24:P24"/>
    <mergeCell ref="E16:G16"/>
    <mergeCell ref="N16:Q16"/>
    <mergeCell ref="T16:Y16"/>
    <mergeCell ref="E8:G8"/>
    <mergeCell ref="N8:Q8"/>
    <mergeCell ref="T8:Y8"/>
    <mergeCell ref="E10:G10"/>
    <mergeCell ref="N10:Q10"/>
    <mergeCell ref="T10:Y10"/>
    <mergeCell ref="E12:G12"/>
    <mergeCell ref="N12:Q12"/>
    <mergeCell ref="T12:Y12"/>
    <mergeCell ref="E14:G14"/>
    <mergeCell ref="T14:Y14"/>
    <mergeCell ref="C6:G6"/>
    <mergeCell ref="I6:Q6"/>
    <mergeCell ref="T6:Y6"/>
    <mergeCell ref="F2:Z2"/>
    <mergeCell ref="AB2:AD2"/>
    <mergeCell ref="D4:E4"/>
    <mergeCell ref="K4:N4"/>
    <mergeCell ref="S4:AD4"/>
  </mergeCells>
  <printOptions horizontalCentered="1"/>
  <pageMargins left="0.25" right="0.25" top="0.75" bottom="0.75" header="0.3" footer="0.3"/>
  <pageSetup scale="98" orientation="portrait" r:id="rId1"/>
  <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E39284-2EDB-4074-B446-8AD21D04FF5C}">
  <sheetPr codeName="Sheet3">
    <tabColor theme="9" tint="-0.249977111117893"/>
  </sheetPr>
  <dimension ref="A1:K94"/>
  <sheetViews>
    <sheetView view="pageLayout" zoomScale="115" zoomScaleNormal="115" zoomScaleSheetLayoutView="55" zoomScalePageLayoutView="115" workbookViewId="0">
      <selection activeCell="D8" sqref="D8"/>
    </sheetView>
  </sheetViews>
  <sheetFormatPr defaultRowHeight="14.4"/>
  <cols>
    <col min="1" max="1" width="9.6640625" customWidth="1"/>
    <col min="11" max="11" width="9.6640625" customWidth="1"/>
  </cols>
  <sheetData>
    <row r="1" spans="1:11">
      <c r="A1" s="21"/>
      <c r="B1" s="21"/>
      <c r="C1" s="21"/>
      <c r="D1" s="21"/>
      <c r="E1" s="21"/>
      <c r="F1" s="21"/>
      <c r="G1" s="21"/>
      <c r="H1" s="21"/>
      <c r="I1" s="21"/>
      <c r="J1" s="21"/>
      <c r="K1" s="21"/>
    </row>
    <row r="2" spans="1:11">
      <c r="A2" s="21"/>
      <c r="B2" s="21"/>
      <c r="C2" s="21"/>
      <c r="D2" s="21"/>
      <c r="E2" s="21"/>
      <c r="F2" s="21"/>
      <c r="G2" s="21"/>
      <c r="H2" s="21"/>
      <c r="I2" s="21"/>
      <c r="J2" s="21"/>
      <c r="K2" s="21"/>
    </row>
    <row r="3" spans="1:11">
      <c r="A3" s="21"/>
      <c r="B3" s="21"/>
      <c r="C3" s="21"/>
      <c r="D3" s="21"/>
      <c r="E3" s="21"/>
      <c r="F3" s="21"/>
      <c r="G3" s="21"/>
      <c r="H3" s="21"/>
      <c r="I3" s="21"/>
      <c r="J3" s="21"/>
      <c r="K3" s="21"/>
    </row>
    <row r="4" spans="1:11">
      <c r="A4" s="21"/>
      <c r="B4" s="21"/>
      <c r="C4" s="21"/>
      <c r="D4" s="21"/>
      <c r="E4" s="21"/>
      <c r="F4" s="21"/>
      <c r="G4" s="21"/>
      <c r="H4" s="21"/>
      <c r="I4" s="21"/>
      <c r="J4" s="21"/>
      <c r="K4" s="21"/>
    </row>
    <row r="5" spans="1:11">
      <c r="A5" s="21"/>
      <c r="B5" s="21"/>
      <c r="C5" s="21"/>
      <c r="D5" s="21"/>
      <c r="E5" s="21"/>
      <c r="F5" s="21"/>
      <c r="G5" s="21"/>
      <c r="H5" s="21"/>
      <c r="I5" s="21"/>
      <c r="J5" s="21"/>
      <c r="K5" s="21"/>
    </row>
    <row r="6" spans="1:11">
      <c r="A6" s="21"/>
      <c r="B6" s="21"/>
      <c r="C6" s="21"/>
      <c r="D6" s="21"/>
      <c r="E6" s="21"/>
      <c r="F6" s="21"/>
      <c r="G6" s="21"/>
      <c r="H6" s="21"/>
      <c r="I6" s="21"/>
      <c r="J6" s="21"/>
      <c r="K6" s="21"/>
    </row>
    <row r="7" spans="1:11">
      <c r="A7" s="21"/>
      <c r="B7" s="21"/>
      <c r="C7" s="21"/>
      <c r="D7" s="21"/>
      <c r="E7" s="21"/>
      <c r="F7" s="21"/>
      <c r="G7" s="21"/>
      <c r="H7" s="21"/>
      <c r="I7" s="21"/>
      <c r="J7" s="21"/>
      <c r="K7" s="21"/>
    </row>
    <row r="8" spans="1:11">
      <c r="A8" s="21"/>
      <c r="B8" s="21"/>
      <c r="C8" s="21"/>
      <c r="D8" s="21"/>
      <c r="E8" s="21"/>
      <c r="F8" s="21"/>
      <c r="G8" s="21"/>
      <c r="H8" s="21"/>
      <c r="I8" s="21"/>
      <c r="J8" s="21"/>
      <c r="K8" s="21"/>
    </row>
    <row r="9" spans="1:11">
      <c r="A9" s="21"/>
      <c r="B9" s="21"/>
      <c r="C9" s="21"/>
      <c r="D9" s="21"/>
      <c r="E9" s="21"/>
      <c r="F9" s="21"/>
      <c r="G9" s="21"/>
      <c r="H9" s="21"/>
      <c r="I9" s="21"/>
      <c r="J9" s="21"/>
      <c r="K9" s="21"/>
    </row>
    <row r="10" spans="1:11">
      <c r="A10" s="21"/>
      <c r="B10" s="21"/>
      <c r="C10" s="21"/>
      <c r="D10" s="21"/>
      <c r="E10" s="21"/>
      <c r="F10" s="21"/>
      <c r="G10" s="21"/>
      <c r="H10" s="21"/>
      <c r="I10" s="21"/>
      <c r="J10" s="21"/>
      <c r="K10" s="21"/>
    </row>
    <row r="11" spans="1:11">
      <c r="A11" s="21"/>
      <c r="B11" s="21"/>
      <c r="C11" s="21"/>
      <c r="D11" s="21"/>
      <c r="E11" s="21"/>
      <c r="F11" s="21"/>
      <c r="G11" s="21"/>
      <c r="H11" s="21"/>
      <c r="I11" s="21"/>
      <c r="J11" s="21"/>
      <c r="K11" s="21"/>
    </row>
    <row r="12" spans="1:11">
      <c r="A12" s="21"/>
      <c r="B12" s="21"/>
      <c r="C12" s="21"/>
      <c r="D12" s="21"/>
      <c r="E12" s="21"/>
      <c r="F12" s="21"/>
      <c r="G12" s="21"/>
      <c r="H12" s="21"/>
      <c r="I12" s="21"/>
      <c r="J12" s="21"/>
      <c r="K12" s="21"/>
    </row>
    <row r="13" spans="1:11">
      <c r="A13" s="21"/>
      <c r="B13" s="21"/>
      <c r="C13" s="21"/>
      <c r="D13" s="21"/>
      <c r="E13" s="21"/>
      <c r="F13" s="21"/>
      <c r="G13" s="21"/>
      <c r="H13" s="21"/>
      <c r="I13" s="21"/>
      <c r="J13" s="21"/>
      <c r="K13" s="21"/>
    </row>
    <row r="14" spans="1:11">
      <c r="A14" s="21"/>
      <c r="B14" s="21"/>
      <c r="C14" s="21"/>
      <c r="D14" s="21"/>
      <c r="E14" s="21"/>
      <c r="F14" s="21"/>
      <c r="G14" s="21"/>
      <c r="H14" s="21"/>
      <c r="I14" s="21"/>
      <c r="J14" s="21"/>
      <c r="K14" s="21"/>
    </row>
    <row r="15" spans="1:11">
      <c r="A15" s="21"/>
      <c r="B15" s="21"/>
      <c r="C15" s="21"/>
      <c r="D15" s="21"/>
      <c r="E15" s="21"/>
      <c r="F15" s="21"/>
      <c r="G15" s="21"/>
      <c r="H15" s="21"/>
      <c r="I15" s="21"/>
      <c r="J15" s="21"/>
      <c r="K15" s="21"/>
    </row>
    <row r="16" spans="1:11">
      <c r="A16" s="21"/>
      <c r="B16" s="21"/>
      <c r="C16" s="21"/>
      <c r="D16" s="21"/>
      <c r="E16" s="21"/>
      <c r="F16" s="21"/>
      <c r="G16" s="21"/>
      <c r="H16" s="21"/>
      <c r="I16" s="21"/>
      <c r="J16" s="21"/>
      <c r="K16" s="21"/>
    </row>
    <row r="17" spans="1:11">
      <c r="A17" s="21"/>
      <c r="B17" s="21"/>
      <c r="C17" s="21"/>
      <c r="D17" s="21"/>
      <c r="E17" s="21"/>
      <c r="F17" s="21"/>
      <c r="G17" s="21"/>
      <c r="H17" s="21"/>
      <c r="I17" s="21"/>
      <c r="J17" s="21"/>
      <c r="K17" s="21"/>
    </row>
    <row r="18" spans="1:11">
      <c r="A18" s="21"/>
      <c r="B18" s="21"/>
      <c r="C18" s="21"/>
      <c r="D18" s="21"/>
      <c r="E18" s="21"/>
      <c r="F18" s="21"/>
      <c r="G18" s="21"/>
      <c r="H18" s="21"/>
      <c r="I18" s="21"/>
      <c r="J18" s="21"/>
      <c r="K18" s="21"/>
    </row>
    <row r="19" spans="1:11">
      <c r="A19" s="21"/>
      <c r="B19" s="21"/>
      <c r="C19" s="21"/>
      <c r="D19" s="21"/>
      <c r="E19" s="21"/>
      <c r="F19" s="21"/>
      <c r="G19" s="21"/>
      <c r="H19" s="21"/>
      <c r="I19" s="21"/>
      <c r="J19" s="21"/>
      <c r="K19" s="21"/>
    </row>
    <row r="20" spans="1:11">
      <c r="A20" s="21"/>
      <c r="B20" s="21"/>
      <c r="C20" s="21"/>
      <c r="D20" s="21"/>
      <c r="E20" s="21"/>
      <c r="F20" s="21"/>
      <c r="G20" s="21"/>
      <c r="H20" s="21"/>
      <c r="I20" s="21"/>
      <c r="J20" s="21"/>
      <c r="K20" s="21"/>
    </row>
    <row r="21" spans="1:11">
      <c r="A21" s="21"/>
      <c r="B21" s="21"/>
      <c r="C21" s="21"/>
      <c r="D21" s="21"/>
      <c r="E21" s="21"/>
      <c r="F21" s="21"/>
      <c r="G21" s="21"/>
      <c r="H21" s="21"/>
      <c r="I21" s="21"/>
      <c r="J21" s="21"/>
      <c r="K21" s="21"/>
    </row>
    <row r="22" spans="1:11">
      <c r="A22" s="21"/>
      <c r="B22" s="21"/>
      <c r="C22" s="21"/>
      <c r="D22" s="21"/>
      <c r="E22" s="21"/>
      <c r="F22" s="21"/>
      <c r="G22" s="21"/>
      <c r="H22" s="21"/>
      <c r="I22" s="21"/>
      <c r="J22" s="21"/>
      <c r="K22" s="21"/>
    </row>
    <row r="23" spans="1:11">
      <c r="A23" s="21"/>
      <c r="B23" s="21"/>
      <c r="C23" s="21"/>
      <c r="D23" s="21"/>
      <c r="E23" s="21"/>
      <c r="F23" s="21"/>
      <c r="G23" s="21"/>
      <c r="H23" s="21"/>
      <c r="I23" s="21"/>
      <c r="J23" s="21"/>
      <c r="K23" s="21"/>
    </row>
    <row r="24" spans="1:11">
      <c r="A24" s="21"/>
      <c r="B24" s="21"/>
      <c r="C24" s="21"/>
      <c r="D24" s="21"/>
      <c r="E24" s="21"/>
      <c r="F24" s="21"/>
      <c r="G24" s="21"/>
      <c r="H24" s="21"/>
      <c r="I24" s="21"/>
      <c r="J24" s="21"/>
      <c r="K24" s="21"/>
    </row>
    <row r="25" spans="1:11">
      <c r="A25" s="21"/>
      <c r="B25" s="21"/>
      <c r="C25" s="21"/>
      <c r="D25" s="21"/>
      <c r="E25" s="21"/>
      <c r="F25" s="21"/>
      <c r="G25" s="21"/>
      <c r="H25" s="21"/>
      <c r="I25" s="21"/>
      <c r="J25" s="21"/>
      <c r="K25" s="21"/>
    </row>
    <row r="26" spans="1:11">
      <c r="A26" s="21"/>
      <c r="B26" s="21"/>
      <c r="C26" s="21"/>
      <c r="D26" s="21"/>
      <c r="E26" s="21"/>
      <c r="F26" s="21"/>
      <c r="G26" s="21"/>
      <c r="H26" s="21"/>
      <c r="I26" s="21"/>
      <c r="J26" s="21"/>
      <c r="K26" s="21"/>
    </row>
    <row r="27" spans="1:11">
      <c r="A27" s="21"/>
      <c r="B27" s="21"/>
      <c r="C27" s="21"/>
      <c r="D27" s="21"/>
      <c r="E27" s="21"/>
      <c r="F27" s="21"/>
      <c r="G27" s="21"/>
      <c r="H27" s="21"/>
      <c r="I27" s="21"/>
      <c r="J27" s="21"/>
      <c r="K27" s="21"/>
    </row>
    <row r="28" spans="1:11">
      <c r="A28" s="21"/>
      <c r="B28" s="21"/>
      <c r="C28" s="21"/>
      <c r="D28" s="21"/>
      <c r="E28" s="21"/>
      <c r="F28" s="21"/>
      <c r="G28" s="21"/>
      <c r="H28" s="21"/>
      <c r="I28" s="21"/>
      <c r="J28" s="21"/>
      <c r="K28" s="21"/>
    </row>
    <row r="29" spans="1:11">
      <c r="A29" s="21"/>
      <c r="B29" s="21"/>
      <c r="C29" s="21"/>
      <c r="D29" s="21"/>
      <c r="E29" s="21"/>
      <c r="F29" s="21"/>
      <c r="G29" s="21"/>
      <c r="H29" s="21"/>
      <c r="I29" s="21"/>
      <c r="J29" s="21"/>
      <c r="K29" s="21"/>
    </row>
    <row r="30" spans="1:11">
      <c r="A30" s="21"/>
      <c r="B30" s="21"/>
      <c r="C30" s="21"/>
      <c r="D30" s="21"/>
      <c r="E30" s="21"/>
      <c r="F30" s="21"/>
      <c r="G30" s="21"/>
      <c r="H30" s="21"/>
      <c r="I30" s="21"/>
      <c r="J30" s="21"/>
      <c r="K30" s="21"/>
    </row>
    <row r="31" spans="1:11">
      <c r="A31" s="21"/>
      <c r="B31" s="21"/>
      <c r="C31" s="21"/>
      <c r="D31" s="21"/>
      <c r="E31" s="21"/>
      <c r="F31" s="21"/>
      <c r="G31" s="21"/>
      <c r="H31" s="21"/>
      <c r="I31" s="21"/>
      <c r="J31" s="21"/>
      <c r="K31" s="21"/>
    </row>
    <row r="32" spans="1:11">
      <c r="A32" s="21"/>
      <c r="B32" s="21"/>
      <c r="C32" s="21"/>
      <c r="D32" s="21"/>
      <c r="E32" s="21"/>
      <c r="F32" s="21"/>
      <c r="G32" s="21"/>
      <c r="H32" s="21"/>
      <c r="I32" s="21"/>
      <c r="J32" s="21"/>
      <c r="K32" s="21"/>
    </row>
    <row r="33" spans="1:11">
      <c r="A33" s="21"/>
      <c r="B33" s="21"/>
      <c r="C33" s="21"/>
      <c r="D33" s="21"/>
      <c r="E33" s="21"/>
      <c r="F33" s="21"/>
      <c r="G33" s="21"/>
      <c r="H33" s="21"/>
      <c r="I33" s="21"/>
      <c r="J33" s="21"/>
      <c r="K33" s="21"/>
    </row>
    <row r="34" spans="1:11">
      <c r="A34" s="21"/>
      <c r="B34" s="21"/>
      <c r="C34" s="21"/>
      <c r="D34" s="21"/>
      <c r="E34" s="21"/>
      <c r="F34" s="21"/>
      <c r="G34" s="21"/>
      <c r="H34" s="21"/>
      <c r="I34" s="21"/>
      <c r="J34" s="21"/>
      <c r="K34" s="21"/>
    </row>
    <row r="35" spans="1:11">
      <c r="A35" s="21"/>
      <c r="B35" s="21"/>
      <c r="C35" s="21"/>
      <c r="D35" s="21"/>
      <c r="E35" s="21"/>
      <c r="F35" s="21"/>
      <c r="G35" s="21"/>
      <c r="H35" s="21"/>
      <c r="I35" s="21"/>
      <c r="J35" s="21"/>
      <c r="K35" s="21"/>
    </row>
    <row r="36" spans="1:11">
      <c r="A36" s="21"/>
      <c r="B36" s="21"/>
      <c r="C36" s="21"/>
      <c r="D36" s="21"/>
      <c r="E36" s="21"/>
      <c r="F36" s="21"/>
      <c r="G36" s="21"/>
      <c r="H36" s="21"/>
      <c r="I36" s="21"/>
      <c r="J36" s="21"/>
      <c r="K36" s="21"/>
    </row>
    <row r="37" spans="1:11">
      <c r="A37" s="21"/>
      <c r="B37" s="21"/>
      <c r="C37" s="21"/>
      <c r="D37" s="21"/>
      <c r="E37" s="21"/>
      <c r="F37" s="21"/>
      <c r="G37" s="21"/>
      <c r="H37" s="21"/>
      <c r="I37" s="21"/>
      <c r="J37" s="21"/>
      <c r="K37" s="21"/>
    </row>
    <row r="38" spans="1:11">
      <c r="A38" s="21"/>
      <c r="B38" s="21"/>
      <c r="C38" s="21"/>
      <c r="D38" s="21"/>
      <c r="E38" s="21"/>
      <c r="F38" s="21"/>
      <c r="G38" s="21"/>
      <c r="H38" s="21"/>
      <c r="I38" s="21"/>
      <c r="J38" s="21"/>
      <c r="K38" s="21"/>
    </row>
    <row r="39" spans="1:11">
      <c r="A39" s="21"/>
      <c r="B39" s="21"/>
      <c r="C39" s="21"/>
      <c r="D39" s="21"/>
      <c r="E39" s="21"/>
      <c r="F39" s="21"/>
      <c r="G39" s="21"/>
      <c r="H39" s="21"/>
      <c r="I39" s="21"/>
      <c r="J39" s="21"/>
      <c r="K39" s="21"/>
    </row>
    <row r="40" spans="1:11">
      <c r="A40" s="21"/>
      <c r="B40" s="21"/>
      <c r="C40" s="21"/>
      <c r="D40" s="21"/>
      <c r="E40" s="21"/>
      <c r="F40" s="21"/>
      <c r="G40" s="21"/>
      <c r="H40" s="21"/>
      <c r="I40" s="21"/>
      <c r="J40" s="21"/>
      <c r="K40" s="21"/>
    </row>
    <row r="41" spans="1:11">
      <c r="A41" s="21"/>
      <c r="B41" s="21"/>
      <c r="C41" s="21"/>
      <c r="D41" s="21"/>
      <c r="E41" s="21"/>
      <c r="F41" s="21"/>
      <c r="G41" s="21"/>
      <c r="H41" s="21"/>
      <c r="I41" s="21"/>
      <c r="J41" s="21"/>
      <c r="K41" s="21"/>
    </row>
    <row r="42" spans="1:11">
      <c r="A42" s="21"/>
      <c r="B42" s="21"/>
      <c r="C42" s="21"/>
      <c r="D42" s="21"/>
      <c r="E42" s="21"/>
      <c r="F42" s="21"/>
      <c r="G42" s="21"/>
      <c r="H42" s="21"/>
      <c r="I42" s="21"/>
      <c r="J42" s="21"/>
      <c r="K42" s="21"/>
    </row>
    <row r="43" spans="1:11">
      <c r="A43" s="21"/>
      <c r="B43" s="21"/>
      <c r="C43" s="21"/>
      <c r="D43" s="21"/>
      <c r="E43" s="21"/>
      <c r="F43" s="21"/>
      <c r="G43" s="21"/>
      <c r="H43" s="21"/>
      <c r="I43" s="21"/>
      <c r="J43" s="21"/>
      <c r="K43" s="21"/>
    </row>
    <row r="44" spans="1:11">
      <c r="A44" s="21"/>
      <c r="B44" s="21"/>
      <c r="C44" s="21"/>
      <c r="D44" s="21"/>
      <c r="E44" s="21"/>
      <c r="F44" s="21"/>
      <c r="G44" s="21"/>
      <c r="H44" s="21"/>
      <c r="I44" s="21"/>
      <c r="J44" s="21"/>
      <c r="K44" s="21"/>
    </row>
    <row r="45" spans="1:11">
      <c r="A45" s="21"/>
      <c r="B45" s="21"/>
      <c r="C45" s="21"/>
      <c r="D45" s="21"/>
      <c r="E45" s="21"/>
      <c r="F45" s="21"/>
      <c r="G45" s="21"/>
      <c r="H45" s="21"/>
      <c r="I45" s="21"/>
      <c r="J45" s="21"/>
      <c r="K45" s="21"/>
    </row>
    <row r="46" spans="1:11">
      <c r="A46" s="21"/>
      <c r="B46" s="21"/>
      <c r="C46" s="21"/>
      <c r="D46" s="21"/>
      <c r="E46" s="21"/>
      <c r="F46" s="21"/>
      <c r="G46" s="21"/>
      <c r="H46" s="21"/>
      <c r="I46" s="21"/>
      <c r="J46" s="21"/>
      <c r="K46" s="21"/>
    </row>
    <row r="47" spans="1:11">
      <c r="A47" s="21"/>
      <c r="B47" s="21"/>
      <c r="C47" s="21"/>
      <c r="D47" s="21"/>
      <c r="E47" s="21"/>
      <c r="F47" s="21"/>
      <c r="G47" s="21"/>
      <c r="H47" s="21"/>
      <c r="I47" s="21"/>
      <c r="J47" s="21"/>
      <c r="K47" s="21"/>
    </row>
    <row r="48" spans="1:11">
      <c r="A48" s="21"/>
      <c r="B48" s="21"/>
      <c r="C48" s="21"/>
      <c r="D48" s="21"/>
      <c r="E48" s="21"/>
      <c r="F48" s="21"/>
      <c r="G48" s="21"/>
      <c r="H48" s="21"/>
      <c r="I48" s="21"/>
      <c r="J48" s="21"/>
      <c r="K48" s="21"/>
    </row>
    <row r="49" spans="1:11">
      <c r="A49" s="21"/>
      <c r="B49" s="21"/>
      <c r="C49" s="21"/>
      <c r="D49" s="21"/>
      <c r="E49" s="21"/>
      <c r="F49" s="21"/>
      <c r="G49" s="21"/>
      <c r="H49" s="21"/>
      <c r="I49" s="21"/>
      <c r="J49" s="21"/>
      <c r="K49" s="21"/>
    </row>
    <row r="50" spans="1:11">
      <c r="A50" s="21"/>
      <c r="B50" s="21"/>
      <c r="C50" s="21"/>
      <c r="D50" s="21"/>
      <c r="E50" s="21"/>
      <c r="F50" s="21"/>
      <c r="G50" s="21"/>
      <c r="H50" s="21"/>
      <c r="I50" s="21"/>
      <c r="J50" s="21"/>
      <c r="K50" s="21"/>
    </row>
    <row r="51" spans="1:11">
      <c r="A51" s="21"/>
      <c r="B51" s="21"/>
      <c r="C51" s="21"/>
      <c r="D51" s="21"/>
      <c r="E51" s="21"/>
      <c r="F51" s="21"/>
      <c r="G51" s="21"/>
      <c r="H51" s="21"/>
      <c r="I51" s="21"/>
      <c r="J51" s="21"/>
      <c r="K51" s="21"/>
    </row>
    <row r="52" spans="1:11">
      <c r="A52" s="21"/>
      <c r="B52" s="21"/>
      <c r="C52" s="21"/>
      <c r="D52" s="21"/>
      <c r="E52" s="21"/>
      <c r="F52" s="21"/>
      <c r="G52" s="21"/>
      <c r="H52" s="21"/>
      <c r="I52" s="21"/>
      <c r="J52" s="21"/>
      <c r="K52" s="21"/>
    </row>
    <row r="53" spans="1:11">
      <c r="A53" s="21"/>
      <c r="B53" s="21"/>
      <c r="C53" s="21"/>
      <c r="D53" s="21"/>
      <c r="E53" s="21"/>
      <c r="F53" s="21"/>
      <c r="G53" s="21"/>
      <c r="H53" s="21"/>
      <c r="I53" s="21"/>
      <c r="J53" s="21"/>
      <c r="K53" s="21"/>
    </row>
    <row r="54" spans="1:11">
      <c r="A54" s="21"/>
      <c r="B54" s="21"/>
      <c r="C54" s="21"/>
      <c r="D54" s="21"/>
      <c r="E54" s="21"/>
      <c r="F54" s="21"/>
      <c r="G54" s="21"/>
      <c r="H54" s="21"/>
      <c r="I54" s="21"/>
      <c r="J54" s="21"/>
      <c r="K54" s="21"/>
    </row>
    <row r="55" spans="1:11">
      <c r="A55" s="21"/>
      <c r="B55" s="21"/>
      <c r="C55" s="21"/>
      <c r="D55" s="21"/>
      <c r="E55" s="21"/>
      <c r="F55" s="21"/>
      <c r="G55" s="21"/>
      <c r="H55" s="21"/>
      <c r="I55" s="21"/>
      <c r="J55" s="21"/>
      <c r="K55" s="21"/>
    </row>
    <row r="56" spans="1:11">
      <c r="A56" s="21"/>
      <c r="B56" s="21"/>
      <c r="C56" s="21"/>
      <c r="D56" s="21"/>
      <c r="E56" s="21"/>
      <c r="F56" s="21"/>
      <c r="G56" s="21"/>
      <c r="H56" s="21"/>
      <c r="I56" s="21"/>
      <c r="J56" s="21"/>
      <c r="K56" s="21"/>
    </row>
    <row r="57" spans="1:11">
      <c r="A57" s="21"/>
      <c r="B57" s="21"/>
      <c r="C57" s="21"/>
      <c r="D57" s="21"/>
      <c r="E57" s="21"/>
      <c r="F57" s="21"/>
      <c r="G57" s="21"/>
      <c r="H57" s="21"/>
      <c r="I57" s="21"/>
      <c r="J57" s="21"/>
      <c r="K57" s="21"/>
    </row>
    <row r="58" spans="1:11">
      <c r="A58" s="21"/>
      <c r="B58" s="21"/>
      <c r="C58" s="21"/>
      <c r="D58" s="21"/>
      <c r="E58" s="21"/>
      <c r="F58" s="21"/>
      <c r="G58" s="21"/>
      <c r="H58" s="21"/>
      <c r="I58" s="21"/>
      <c r="J58" s="21"/>
      <c r="K58" s="21"/>
    </row>
    <row r="59" spans="1:11">
      <c r="A59" s="21"/>
      <c r="B59" s="21"/>
      <c r="C59" s="21"/>
      <c r="D59" s="21"/>
      <c r="E59" s="21"/>
      <c r="F59" s="21"/>
      <c r="G59" s="21"/>
      <c r="H59" s="21"/>
      <c r="I59" s="21"/>
      <c r="J59" s="21"/>
      <c r="K59" s="21"/>
    </row>
    <row r="60" spans="1:11">
      <c r="A60" s="21"/>
      <c r="B60" s="21"/>
      <c r="C60" s="21"/>
      <c r="D60" s="21"/>
      <c r="E60" s="21"/>
      <c r="F60" s="21"/>
      <c r="G60" s="21"/>
      <c r="H60" s="21"/>
      <c r="I60" s="21"/>
      <c r="J60" s="21"/>
      <c r="K60" s="21"/>
    </row>
    <row r="61" spans="1:11">
      <c r="A61" s="21"/>
      <c r="B61" s="21"/>
      <c r="C61" s="21"/>
      <c r="D61" s="21"/>
      <c r="E61" s="21"/>
      <c r="F61" s="21"/>
      <c r="G61" s="21"/>
      <c r="H61" s="21"/>
      <c r="I61" s="21"/>
      <c r="J61" s="21"/>
      <c r="K61" s="21"/>
    </row>
    <row r="62" spans="1:11">
      <c r="A62" s="21"/>
      <c r="B62" s="21"/>
      <c r="C62" s="21"/>
      <c r="D62" s="21"/>
      <c r="E62" s="21"/>
      <c r="F62" s="21"/>
      <c r="G62" s="21"/>
      <c r="H62" s="21"/>
      <c r="I62" s="21"/>
      <c r="J62" s="21"/>
      <c r="K62" s="21"/>
    </row>
    <row r="63" spans="1:11">
      <c r="A63" s="21"/>
      <c r="B63" s="21"/>
      <c r="C63" s="21"/>
      <c r="D63" s="21"/>
      <c r="E63" s="21"/>
      <c r="F63" s="21"/>
      <c r="G63" s="21"/>
      <c r="H63" s="21"/>
      <c r="I63" s="21"/>
      <c r="J63" s="21"/>
      <c r="K63" s="21"/>
    </row>
    <row r="64" spans="1:11">
      <c r="A64" s="21"/>
      <c r="B64" s="21"/>
      <c r="C64" s="21"/>
      <c r="D64" s="21"/>
      <c r="E64" s="21"/>
      <c r="F64" s="21"/>
      <c r="G64" s="21"/>
      <c r="H64" s="21"/>
      <c r="I64" s="21"/>
      <c r="J64" s="21"/>
      <c r="K64" s="21"/>
    </row>
    <row r="65" spans="1:11">
      <c r="A65" s="21"/>
      <c r="B65" s="21"/>
      <c r="C65" s="21"/>
      <c r="D65" s="21"/>
      <c r="E65" s="21"/>
      <c r="F65" s="21"/>
      <c r="G65" s="21"/>
      <c r="H65" s="21"/>
      <c r="I65" s="21"/>
      <c r="J65" s="21"/>
      <c r="K65" s="21"/>
    </row>
    <row r="66" spans="1:11">
      <c r="A66" s="21"/>
      <c r="B66" s="21"/>
      <c r="C66" s="21"/>
      <c r="D66" s="21"/>
      <c r="E66" s="21"/>
      <c r="F66" s="21"/>
      <c r="G66" s="21"/>
      <c r="H66" s="21"/>
      <c r="I66" s="21"/>
      <c r="J66" s="21"/>
      <c r="K66" s="21"/>
    </row>
    <row r="67" spans="1:11">
      <c r="A67" s="21"/>
      <c r="B67" s="21"/>
      <c r="C67" s="21"/>
      <c r="D67" s="21"/>
      <c r="E67" s="21"/>
      <c r="F67" s="21"/>
      <c r="G67" s="21"/>
      <c r="H67" s="21"/>
      <c r="I67" s="21"/>
      <c r="J67" s="21"/>
      <c r="K67" s="21"/>
    </row>
    <row r="68" spans="1:11">
      <c r="A68" s="21"/>
      <c r="B68" s="21"/>
      <c r="C68" s="21"/>
      <c r="D68" s="21"/>
      <c r="E68" s="21"/>
      <c r="F68" s="21"/>
      <c r="G68" s="21"/>
      <c r="H68" s="21"/>
      <c r="I68" s="21"/>
      <c r="J68" s="21"/>
      <c r="K68" s="21"/>
    </row>
    <row r="69" spans="1:11">
      <c r="A69" s="21"/>
      <c r="B69" s="21"/>
      <c r="C69" s="21"/>
      <c r="D69" s="21"/>
      <c r="E69" s="21"/>
      <c r="F69" s="21"/>
      <c r="G69" s="21"/>
      <c r="H69" s="21"/>
      <c r="I69" s="21"/>
      <c r="J69" s="21"/>
      <c r="K69" s="21"/>
    </row>
    <row r="70" spans="1:11">
      <c r="A70" s="21"/>
      <c r="B70" s="21"/>
      <c r="C70" s="21"/>
      <c r="D70" s="21"/>
      <c r="E70" s="21"/>
      <c r="F70" s="21"/>
      <c r="G70" s="21"/>
      <c r="H70" s="21"/>
      <c r="I70" s="21"/>
      <c r="J70" s="21"/>
      <c r="K70" s="21"/>
    </row>
    <row r="71" spans="1:11">
      <c r="A71" s="21"/>
      <c r="B71" s="21"/>
      <c r="C71" s="21"/>
      <c r="D71" s="21"/>
      <c r="E71" s="21"/>
      <c r="F71" s="21"/>
      <c r="G71" s="21"/>
      <c r="H71" s="21"/>
      <c r="I71" s="21"/>
      <c r="J71" s="21"/>
      <c r="K71" s="21"/>
    </row>
    <row r="72" spans="1:11">
      <c r="A72" s="21"/>
      <c r="B72" s="21"/>
      <c r="C72" s="21"/>
      <c r="D72" s="21"/>
      <c r="E72" s="21"/>
      <c r="F72" s="21"/>
      <c r="G72" s="21"/>
      <c r="H72" s="21"/>
      <c r="I72" s="21"/>
      <c r="J72" s="21"/>
      <c r="K72" s="21"/>
    </row>
    <row r="73" spans="1:11">
      <c r="A73" s="21"/>
      <c r="B73" s="21"/>
      <c r="C73" s="21"/>
      <c r="D73" s="21"/>
      <c r="E73" s="21"/>
      <c r="F73" s="21"/>
      <c r="G73" s="21"/>
      <c r="H73" s="21"/>
      <c r="I73" s="21"/>
      <c r="J73" s="21"/>
      <c r="K73" s="21"/>
    </row>
    <row r="74" spans="1:11">
      <c r="A74" s="21"/>
      <c r="B74" s="21"/>
      <c r="C74" s="21"/>
      <c r="D74" s="21"/>
      <c r="E74" s="21"/>
      <c r="F74" s="21"/>
      <c r="G74" s="21"/>
      <c r="H74" s="21"/>
      <c r="I74" s="21"/>
      <c r="J74" s="21"/>
      <c r="K74" s="21"/>
    </row>
    <row r="75" spans="1:11">
      <c r="A75" s="21"/>
      <c r="B75" s="21"/>
      <c r="C75" s="21"/>
      <c r="D75" s="21"/>
      <c r="E75" s="21"/>
      <c r="F75" s="21"/>
      <c r="G75" s="21"/>
      <c r="H75" s="21"/>
      <c r="I75" s="21"/>
      <c r="J75" s="21"/>
      <c r="K75" s="21"/>
    </row>
    <row r="76" spans="1:11">
      <c r="A76" s="21"/>
      <c r="B76" s="21"/>
      <c r="C76" s="21"/>
      <c r="D76" s="21"/>
      <c r="E76" s="21"/>
      <c r="F76" s="21"/>
      <c r="G76" s="21"/>
      <c r="H76" s="21"/>
      <c r="I76" s="21"/>
      <c r="J76" s="21"/>
      <c r="K76" s="21"/>
    </row>
    <row r="77" spans="1:11">
      <c r="A77" s="21"/>
      <c r="B77" s="21"/>
      <c r="C77" s="21"/>
      <c r="D77" s="21"/>
      <c r="E77" s="21"/>
      <c r="F77" s="21"/>
      <c r="G77" s="21"/>
      <c r="H77" s="21"/>
      <c r="I77" s="21"/>
      <c r="J77" s="21"/>
      <c r="K77" s="21"/>
    </row>
    <row r="78" spans="1:11">
      <c r="A78" s="21"/>
      <c r="B78" s="21"/>
      <c r="C78" s="21"/>
      <c r="D78" s="21"/>
      <c r="E78" s="21"/>
      <c r="F78" s="21"/>
      <c r="G78" s="21"/>
      <c r="H78" s="21"/>
      <c r="I78" s="21"/>
      <c r="J78" s="21"/>
      <c r="K78" s="21"/>
    </row>
    <row r="79" spans="1:11">
      <c r="A79" s="21"/>
      <c r="B79" s="21"/>
      <c r="C79" s="21"/>
      <c r="D79" s="21"/>
      <c r="E79" s="21"/>
      <c r="F79" s="21"/>
      <c r="G79" s="21"/>
      <c r="H79" s="21"/>
      <c r="I79" s="21"/>
      <c r="J79" s="21"/>
      <c r="K79" s="21"/>
    </row>
    <row r="80" spans="1:11">
      <c r="A80" s="21"/>
      <c r="B80" s="21"/>
      <c r="C80" s="21"/>
      <c r="D80" s="21"/>
      <c r="E80" s="21"/>
      <c r="F80" s="21"/>
      <c r="G80" s="21"/>
      <c r="H80" s="21"/>
      <c r="I80" s="21"/>
      <c r="J80" s="21"/>
      <c r="K80" s="21"/>
    </row>
    <row r="81" spans="1:11">
      <c r="A81" s="21"/>
      <c r="B81" s="21"/>
      <c r="C81" s="21"/>
      <c r="D81" s="21"/>
      <c r="E81" s="21"/>
      <c r="F81" s="21"/>
      <c r="G81" s="21"/>
      <c r="H81" s="21"/>
      <c r="I81" s="21"/>
      <c r="J81" s="21"/>
      <c r="K81" s="21"/>
    </row>
    <row r="82" spans="1:11">
      <c r="A82" s="21"/>
      <c r="B82" s="21"/>
      <c r="C82" s="21"/>
      <c r="D82" s="21"/>
      <c r="E82" s="21"/>
      <c r="F82" s="21"/>
      <c r="G82" s="21"/>
      <c r="H82" s="21"/>
      <c r="I82" s="21"/>
      <c r="J82" s="21"/>
      <c r="K82" s="21"/>
    </row>
    <row r="83" spans="1:11">
      <c r="A83" s="21"/>
      <c r="B83" s="21"/>
      <c r="C83" s="21"/>
      <c r="D83" s="21"/>
      <c r="E83" s="21"/>
      <c r="F83" s="21"/>
      <c r="G83" s="21"/>
      <c r="H83" s="21"/>
      <c r="I83" s="21"/>
      <c r="J83" s="21"/>
      <c r="K83" s="21"/>
    </row>
    <row r="84" spans="1:11">
      <c r="A84" s="21"/>
      <c r="B84" s="21"/>
      <c r="C84" s="21"/>
      <c r="D84" s="21"/>
      <c r="E84" s="21"/>
      <c r="F84" s="21"/>
      <c r="G84" s="21"/>
      <c r="H84" s="21"/>
      <c r="I84" s="21"/>
      <c r="J84" s="21"/>
      <c r="K84" s="21"/>
    </row>
    <row r="85" spans="1:11">
      <c r="A85" s="21"/>
      <c r="B85" s="21"/>
      <c r="C85" s="21"/>
      <c r="D85" s="21"/>
      <c r="E85" s="21"/>
      <c r="F85" s="21"/>
      <c r="G85" s="21"/>
      <c r="H85" s="21"/>
      <c r="I85" s="21"/>
      <c r="J85" s="21"/>
      <c r="K85" s="21"/>
    </row>
    <row r="86" spans="1:11">
      <c r="A86" s="21"/>
      <c r="B86" s="21"/>
      <c r="C86" s="21"/>
      <c r="D86" s="21"/>
      <c r="E86" s="21"/>
      <c r="F86" s="21"/>
      <c r="G86" s="21"/>
      <c r="H86" s="21"/>
      <c r="I86" s="21"/>
      <c r="J86" s="21"/>
      <c r="K86" s="21"/>
    </row>
    <row r="87" spans="1:11">
      <c r="A87" s="21"/>
      <c r="B87" s="21"/>
      <c r="C87" s="21"/>
      <c r="D87" s="21"/>
      <c r="E87" s="21"/>
      <c r="F87" s="21"/>
      <c r="G87" s="21"/>
      <c r="H87" s="21"/>
      <c r="I87" s="21"/>
      <c r="J87" s="21"/>
      <c r="K87" s="21"/>
    </row>
    <row r="88" spans="1:11">
      <c r="A88" s="21"/>
      <c r="B88" s="21"/>
      <c r="C88" s="21"/>
      <c r="D88" s="21"/>
      <c r="E88" s="21"/>
      <c r="F88" s="21"/>
      <c r="G88" s="21"/>
      <c r="H88" s="21"/>
      <c r="I88" s="21"/>
      <c r="J88" s="21"/>
      <c r="K88" s="21"/>
    </row>
    <row r="89" spans="1:11">
      <c r="A89" s="21"/>
      <c r="B89" s="21"/>
      <c r="C89" s="21"/>
      <c r="D89" s="21"/>
      <c r="E89" s="21"/>
      <c r="F89" s="21"/>
      <c r="G89" s="21"/>
      <c r="H89" s="21"/>
      <c r="I89" s="21"/>
      <c r="J89" s="21"/>
      <c r="K89" s="21"/>
    </row>
    <row r="90" spans="1:11">
      <c r="A90" s="21"/>
      <c r="B90" s="21"/>
      <c r="C90" s="21"/>
      <c r="D90" s="21"/>
      <c r="E90" s="21"/>
      <c r="F90" s="21"/>
      <c r="G90" s="21"/>
      <c r="H90" s="21"/>
      <c r="I90" s="21"/>
      <c r="J90" s="21"/>
      <c r="K90" s="21"/>
    </row>
    <row r="91" spans="1:11">
      <c r="A91" s="21"/>
      <c r="B91" s="21"/>
      <c r="C91" s="21"/>
      <c r="D91" s="21"/>
      <c r="E91" s="21"/>
      <c r="F91" s="21"/>
      <c r="G91" s="21"/>
      <c r="H91" s="21"/>
      <c r="I91" s="21"/>
      <c r="J91" s="21"/>
      <c r="K91" s="21"/>
    </row>
    <row r="92" spans="1:11">
      <c r="A92" s="21"/>
      <c r="B92" s="21"/>
      <c r="C92" s="21"/>
      <c r="D92" s="21"/>
      <c r="E92" s="21"/>
      <c r="F92" s="21"/>
      <c r="G92" s="21"/>
      <c r="H92" s="21"/>
      <c r="I92" s="21"/>
      <c r="J92" s="21"/>
      <c r="K92" s="21"/>
    </row>
    <row r="93" spans="1:11">
      <c r="A93" s="21"/>
      <c r="B93" s="21"/>
      <c r="C93" s="21"/>
      <c r="D93" s="21"/>
      <c r="E93" s="21"/>
      <c r="F93" s="21"/>
      <c r="G93" s="21"/>
      <c r="H93" s="21"/>
      <c r="I93" s="21"/>
      <c r="J93" s="21"/>
      <c r="K93" s="21"/>
    </row>
    <row r="94" spans="1:11">
      <c r="A94" s="21"/>
      <c r="B94" s="21"/>
      <c r="C94" s="21"/>
      <c r="D94" s="21"/>
      <c r="E94" s="21"/>
      <c r="F94" s="21"/>
      <c r="G94" s="21"/>
      <c r="H94" s="21"/>
      <c r="I94" s="21"/>
      <c r="J94" s="21"/>
      <c r="K94" s="21"/>
    </row>
  </sheetData>
  <sheetProtection formatColumns="0" formatRows="0" insertColumns="0" insertRows="0"/>
  <printOptions horizontalCentered="1"/>
  <pageMargins left="0.25" right="0.25" top="0.75" bottom="0.75" header="0.3" footer="0.3"/>
  <pageSetup orientation="portrait" r:id="rId1"/>
  <headerFooter scaleWithDoc="0">
    <oddHeader>&amp;C&amp;"-,Bold"&amp;20Cap Rate Comps</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4449" r:id="rId4" name="Button 1">
              <controlPr defaultSize="0" print="0" autoFill="0" autoPict="0" macro="[0]!PasteImageWithBorder_ExtraPage">
                <anchor moveWithCells="1" sizeWithCells="1">
                  <from>
                    <xdr:col>12</xdr:col>
                    <xdr:colOff>312420</xdr:colOff>
                    <xdr:row>3</xdr:row>
                    <xdr:rowOff>0</xdr:rowOff>
                  </from>
                  <to>
                    <xdr:col>15</xdr:col>
                    <xdr:colOff>304800</xdr:colOff>
                    <xdr:row>6</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6FC8B6-0153-4B87-B257-3DD18566A52C}">
  <sheetPr codeName="Sheet10">
    <tabColor theme="9" tint="-0.249977111117893"/>
    <pageSetUpPr fitToPage="1"/>
  </sheetPr>
  <dimension ref="A1:K94"/>
  <sheetViews>
    <sheetView view="pageLayout" zoomScale="115" zoomScaleNormal="115" zoomScaleSheetLayoutView="130" zoomScalePageLayoutView="115" workbookViewId="0">
      <selection activeCell="D8" sqref="D8"/>
    </sheetView>
  </sheetViews>
  <sheetFormatPr defaultRowHeight="14.4"/>
  <cols>
    <col min="1" max="1" width="9.6640625" customWidth="1"/>
    <col min="2" max="2" width="10.44140625" bestFit="1" customWidth="1"/>
    <col min="4" max="4" width="10.44140625" bestFit="1" customWidth="1"/>
    <col min="7" max="8" width="10.44140625" bestFit="1" customWidth="1"/>
    <col min="11" max="11" width="9.6640625" customWidth="1"/>
  </cols>
  <sheetData>
    <row r="1" spans="1:11">
      <c r="A1" s="741"/>
      <c r="B1" s="741"/>
      <c r="C1" s="741"/>
      <c r="D1" s="741"/>
      <c r="E1" s="741"/>
      <c r="F1" s="741"/>
      <c r="G1" s="741"/>
      <c r="H1" s="741"/>
      <c r="I1" s="741"/>
      <c r="J1" s="741"/>
      <c r="K1" s="741"/>
    </row>
    <row r="2" spans="1:11">
      <c r="A2" s="741"/>
      <c r="B2" s="741"/>
      <c r="C2" s="741"/>
      <c r="D2" s="741"/>
      <c r="E2" s="741"/>
      <c r="F2" s="741"/>
      <c r="G2" s="741"/>
      <c r="H2" s="741"/>
      <c r="I2" s="741"/>
      <c r="J2" s="741"/>
      <c r="K2" s="741"/>
    </row>
    <row r="3" spans="1:11">
      <c r="A3" s="21"/>
      <c r="B3" s="21"/>
      <c r="C3" s="21"/>
      <c r="D3" s="21"/>
      <c r="E3" s="21"/>
      <c r="F3" s="21"/>
      <c r="G3" s="21"/>
      <c r="H3" s="21"/>
      <c r="I3" s="21"/>
      <c r="J3" s="21"/>
      <c r="K3" s="21"/>
    </row>
    <row r="4" spans="1:11">
      <c r="A4" s="21"/>
      <c r="D4" s="271"/>
      <c r="E4" s="271"/>
      <c r="F4" s="271"/>
      <c r="G4" s="271"/>
      <c r="H4" s="271"/>
      <c r="I4" s="21"/>
      <c r="J4" s="21"/>
      <c r="K4" s="21"/>
    </row>
    <row r="5" spans="1:11">
      <c r="A5" s="21"/>
      <c r="B5" s="21"/>
      <c r="C5" s="21"/>
      <c r="D5" s="21"/>
      <c r="E5" s="21"/>
      <c r="F5" s="736"/>
      <c r="G5" s="737"/>
      <c r="H5" s="738"/>
      <c r="I5" s="21"/>
      <c r="J5" s="21"/>
      <c r="K5" s="21"/>
    </row>
    <row r="6" spans="1:11">
      <c r="A6" s="21"/>
      <c r="B6" s="21"/>
      <c r="C6" s="21"/>
      <c r="D6" s="21"/>
      <c r="E6" s="21"/>
      <c r="F6" s="736"/>
      <c r="G6" s="737"/>
      <c r="H6" s="738"/>
      <c r="I6" s="21"/>
      <c r="J6" s="21"/>
      <c r="K6" s="21"/>
    </row>
    <row r="7" spans="1:11">
      <c r="A7" s="21"/>
      <c r="B7" s="21"/>
      <c r="C7" s="21"/>
      <c r="D7" s="21"/>
      <c r="E7" s="21"/>
      <c r="F7" s="21"/>
      <c r="G7" s="21"/>
      <c r="H7" s="21"/>
      <c r="I7" s="21"/>
      <c r="J7" s="21"/>
      <c r="K7" s="21"/>
    </row>
    <row r="8" spans="1:11">
      <c r="A8" s="21"/>
      <c r="B8" s="21"/>
      <c r="C8" s="21"/>
      <c r="D8" s="21"/>
      <c r="E8" s="21"/>
      <c r="F8" s="21"/>
      <c r="G8" s="21"/>
      <c r="H8" s="21"/>
      <c r="I8" s="21"/>
      <c r="J8" s="21"/>
      <c r="K8" s="21"/>
    </row>
    <row r="9" spans="1:11">
      <c r="A9" s="21"/>
      <c r="B9" s="21"/>
      <c r="C9" s="21"/>
      <c r="D9" s="21"/>
      <c r="E9" s="21"/>
      <c r="F9" s="21"/>
      <c r="G9" s="21"/>
      <c r="H9" s="21"/>
      <c r="I9" s="21"/>
      <c r="J9" s="21"/>
      <c r="K9" s="21"/>
    </row>
    <row r="10" spans="1:11">
      <c r="A10" s="21"/>
      <c r="B10" s="21"/>
      <c r="C10" s="21"/>
      <c r="D10" s="21"/>
      <c r="E10" s="21"/>
      <c r="F10" s="21"/>
      <c r="G10" s="21"/>
      <c r="H10" s="21"/>
      <c r="I10" s="21"/>
      <c r="J10" s="21"/>
      <c r="K10" s="21"/>
    </row>
    <row r="11" spans="1:11">
      <c r="A11" s="21"/>
      <c r="B11" s="21"/>
      <c r="C11" s="21"/>
      <c r="D11" s="21"/>
      <c r="E11" s="21"/>
      <c r="F11" s="21"/>
      <c r="G11" s="21"/>
      <c r="H11" s="21"/>
      <c r="I11" s="21"/>
      <c r="J11" s="21"/>
      <c r="K11" s="21"/>
    </row>
    <row r="12" spans="1:11">
      <c r="A12" s="21"/>
      <c r="B12" s="21"/>
      <c r="C12" s="21"/>
      <c r="D12" s="21"/>
      <c r="E12" s="21"/>
      <c r="F12" s="21"/>
      <c r="G12" s="21"/>
      <c r="H12" s="21"/>
      <c r="I12" s="21"/>
      <c r="J12" s="21"/>
      <c r="K12" s="21"/>
    </row>
    <row r="13" spans="1:11">
      <c r="A13" s="21"/>
      <c r="B13" s="21"/>
      <c r="C13" s="21"/>
      <c r="D13" s="21"/>
      <c r="E13" s="21"/>
      <c r="F13" s="21"/>
      <c r="G13" s="21"/>
      <c r="H13" s="21"/>
      <c r="I13" s="21"/>
      <c r="J13" s="21"/>
      <c r="K13" s="21"/>
    </row>
    <row r="14" spans="1:11">
      <c r="A14" s="21"/>
      <c r="B14" s="21"/>
      <c r="C14" s="21"/>
      <c r="D14" s="21"/>
      <c r="E14" s="21"/>
      <c r="F14" s="21"/>
      <c r="G14" s="21"/>
      <c r="H14" s="21"/>
      <c r="I14" s="21"/>
      <c r="J14" s="21"/>
      <c r="K14" s="21"/>
    </row>
    <row r="15" spans="1:11">
      <c r="A15" s="21"/>
      <c r="B15" s="21"/>
      <c r="C15" s="21"/>
      <c r="D15" s="21"/>
      <c r="E15" s="21"/>
      <c r="F15" s="21"/>
      <c r="G15" s="21"/>
      <c r="H15" s="21"/>
      <c r="I15" s="21"/>
      <c r="J15" s="21"/>
      <c r="K15" s="21"/>
    </row>
    <row r="16" spans="1:11">
      <c r="A16" s="21"/>
      <c r="B16" s="21"/>
      <c r="C16" s="21"/>
      <c r="D16" s="21"/>
      <c r="E16" s="21"/>
      <c r="F16" s="21"/>
      <c r="G16" s="21"/>
      <c r="H16" s="21"/>
      <c r="I16" s="21"/>
      <c r="J16" s="21"/>
      <c r="K16" s="21"/>
    </row>
    <row r="17" spans="1:11">
      <c r="A17" s="21"/>
      <c r="B17" s="21"/>
      <c r="C17" s="21"/>
      <c r="D17" s="21"/>
      <c r="E17" s="21"/>
      <c r="F17" s="21"/>
      <c r="G17" s="21"/>
      <c r="H17" s="21"/>
      <c r="I17" s="21"/>
      <c r="J17" s="21"/>
      <c r="K17" s="21"/>
    </row>
    <row r="18" spans="1:11">
      <c r="A18" s="21"/>
      <c r="B18" s="21"/>
      <c r="C18" s="21"/>
      <c r="D18" s="21"/>
      <c r="E18" s="21"/>
      <c r="F18" s="21"/>
      <c r="G18" s="21"/>
      <c r="H18" s="21"/>
      <c r="I18" s="21"/>
      <c r="J18" s="21"/>
      <c r="K18" s="21"/>
    </row>
    <row r="19" spans="1:11">
      <c r="A19" s="21"/>
      <c r="B19" s="21"/>
      <c r="C19" s="21"/>
      <c r="D19" s="21"/>
      <c r="E19" s="21"/>
      <c r="F19" s="21"/>
      <c r="G19" s="21"/>
      <c r="H19" s="21"/>
      <c r="I19" s="21"/>
      <c r="J19" s="21"/>
      <c r="K19" s="21"/>
    </row>
    <row r="20" spans="1:11">
      <c r="A20" s="21"/>
      <c r="B20" s="21"/>
      <c r="C20" s="21"/>
      <c r="D20" s="21"/>
      <c r="E20" s="21"/>
      <c r="F20" s="21"/>
      <c r="G20" s="21"/>
      <c r="H20" s="21"/>
      <c r="I20" s="21"/>
      <c r="J20" s="21"/>
      <c r="K20" s="21"/>
    </row>
    <row r="21" spans="1:11">
      <c r="A21" s="21"/>
      <c r="B21" s="21"/>
      <c r="C21" s="21"/>
      <c r="D21" s="21"/>
      <c r="E21" s="21"/>
      <c r="F21" s="21"/>
      <c r="G21" s="21"/>
      <c r="H21" s="21"/>
      <c r="I21" s="21"/>
      <c r="J21" s="21"/>
      <c r="K21" s="21"/>
    </row>
    <row r="22" spans="1:11">
      <c r="A22" s="21"/>
      <c r="B22" s="21"/>
      <c r="C22" s="21"/>
      <c r="D22" s="21"/>
      <c r="E22" s="21"/>
      <c r="F22" s="21"/>
      <c r="G22" s="21"/>
      <c r="H22" s="21"/>
      <c r="I22" s="21"/>
      <c r="J22" s="21"/>
      <c r="K22" s="21"/>
    </row>
    <row r="23" spans="1:11">
      <c r="A23" s="21"/>
      <c r="B23" s="21"/>
      <c r="C23" s="21"/>
      <c r="D23" s="21"/>
      <c r="E23" s="21"/>
      <c r="F23" s="21"/>
      <c r="G23" s="21"/>
      <c r="H23" s="21"/>
      <c r="I23" s="21"/>
      <c r="J23" s="21"/>
      <c r="K23" s="21"/>
    </row>
    <row r="24" spans="1:11">
      <c r="A24" s="21"/>
      <c r="B24" s="21"/>
      <c r="C24" s="21"/>
      <c r="D24" s="21"/>
      <c r="E24" s="21"/>
      <c r="F24" s="21"/>
      <c r="G24" s="21"/>
      <c r="H24" s="21"/>
      <c r="I24" s="21"/>
      <c r="J24" s="21"/>
      <c r="K24" s="21"/>
    </row>
    <row r="25" spans="1:11">
      <c r="A25" s="21"/>
      <c r="B25" s="21"/>
      <c r="C25" s="21"/>
      <c r="D25" s="21"/>
      <c r="E25" s="21"/>
      <c r="F25" s="21"/>
      <c r="G25" s="21"/>
      <c r="H25" s="21"/>
      <c r="I25" s="21"/>
      <c r="J25" s="21"/>
      <c r="K25" s="21"/>
    </row>
    <row r="26" spans="1:11">
      <c r="A26" s="21"/>
      <c r="B26" s="21"/>
      <c r="C26" s="21"/>
      <c r="D26" s="21"/>
      <c r="E26" s="21"/>
      <c r="F26" s="21"/>
      <c r="G26" s="21"/>
      <c r="H26" s="21"/>
      <c r="I26" s="21"/>
      <c r="J26" s="21"/>
      <c r="K26" s="21"/>
    </row>
    <row r="27" spans="1:11">
      <c r="A27" s="21"/>
      <c r="B27" s="21"/>
      <c r="C27" s="21"/>
      <c r="D27" s="21"/>
      <c r="E27" s="21"/>
      <c r="F27" s="21"/>
      <c r="G27" s="21"/>
      <c r="H27" s="21"/>
      <c r="I27" s="21"/>
      <c r="J27" s="21"/>
      <c r="K27" s="21"/>
    </row>
    <row r="28" spans="1:11">
      <c r="A28" s="21"/>
      <c r="B28" s="21"/>
      <c r="C28" s="21"/>
      <c r="D28" s="21"/>
      <c r="E28" s="21"/>
      <c r="F28" s="21"/>
      <c r="G28" s="21"/>
      <c r="H28" s="21"/>
      <c r="I28" s="21"/>
      <c r="J28" s="21"/>
      <c r="K28" s="21"/>
    </row>
    <row r="29" spans="1:11">
      <c r="A29" s="21"/>
      <c r="B29" s="21"/>
      <c r="C29" s="21"/>
      <c r="D29" s="21"/>
      <c r="E29" s="21"/>
      <c r="F29" s="21"/>
      <c r="G29" s="21"/>
      <c r="H29" s="21"/>
      <c r="I29" s="21"/>
      <c r="J29" s="21"/>
      <c r="K29" s="21"/>
    </row>
    <row r="30" spans="1:11">
      <c r="A30" s="21"/>
      <c r="B30" s="21"/>
      <c r="C30" s="21"/>
      <c r="D30" s="21"/>
      <c r="E30" s="21"/>
      <c r="F30" s="21"/>
      <c r="G30" s="21"/>
      <c r="H30" s="21"/>
      <c r="I30" s="21"/>
      <c r="J30" s="21"/>
      <c r="K30" s="21"/>
    </row>
    <row r="31" spans="1:11">
      <c r="A31" s="21"/>
      <c r="B31" s="21"/>
      <c r="C31" s="21"/>
      <c r="D31" s="21"/>
      <c r="E31" s="21"/>
      <c r="F31" s="21"/>
      <c r="G31" s="21"/>
      <c r="H31" s="21"/>
      <c r="I31" s="21"/>
      <c r="J31" s="21"/>
      <c r="K31" s="21"/>
    </row>
    <row r="32" spans="1:11">
      <c r="A32" s="21"/>
      <c r="B32" s="21"/>
      <c r="C32" s="21"/>
      <c r="D32" s="21"/>
      <c r="E32" s="21"/>
      <c r="F32" s="21"/>
      <c r="G32" s="21"/>
      <c r="H32" s="21"/>
      <c r="I32" s="21"/>
      <c r="J32" s="21"/>
      <c r="K32" s="21"/>
    </row>
    <row r="33" spans="1:11">
      <c r="A33" s="21"/>
      <c r="B33" s="21"/>
      <c r="C33" s="21"/>
      <c r="D33" s="21"/>
      <c r="E33" s="21"/>
      <c r="F33" s="21"/>
      <c r="G33" s="21"/>
      <c r="H33" s="21"/>
      <c r="I33" s="21"/>
      <c r="J33" s="21"/>
      <c r="K33" s="21"/>
    </row>
    <row r="34" spans="1:11">
      <c r="A34" s="21"/>
      <c r="B34" s="21"/>
      <c r="C34" s="21"/>
      <c r="D34" s="21"/>
      <c r="E34" s="21"/>
      <c r="F34" s="21"/>
      <c r="G34" s="21"/>
      <c r="H34" s="21"/>
      <c r="I34" s="21"/>
      <c r="J34" s="21"/>
      <c r="K34" s="21"/>
    </row>
    <row r="35" spans="1:11">
      <c r="A35" s="21"/>
      <c r="B35" s="21"/>
      <c r="C35" s="21"/>
      <c r="D35" s="21"/>
      <c r="E35" s="21"/>
      <c r="F35" s="21"/>
      <c r="G35" s="21"/>
      <c r="H35" s="21"/>
      <c r="I35" s="21"/>
      <c r="J35" s="21"/>
      <c r="K35" s="21"/>
    </row>
    <row r="36" spans="1:11">
      <c r="A36" s="21"/>
      <c r="B36" s="21"/>
      <c r="C36" s="21"/>
      <c r="D36" s="21"/>
      <c r="E36" s="21"/>
      <c r="F36" s="21"/>
      <c r="G36" s="21"/>
      <c r="H36" s="21"/>
      <c r="I36" s="21"/>
      <c r="J36" s="21"/>
      <c r="K36" s="21"/>
    </row>
    <row r="37" spans="1:11">
      <c r="A37" s="21"/>
      <c r="B37" s="21"/>
      <c r="C37" s="21"/>
      <c r="D37" s="21"/>
      <c r="E37" s="21"/>
      <c r="F37" s="21"/>
      <c r="G37" s="21"/>
      <c r="H37" s="21"/>
      <c r="I37" s="21"/>
      <c r="J37" s="21"/>
      <c r="K37" s="21"/>
    </row>
    <row r="38" spans="1:11">
      <c r="A38" s="21"/>
      <c r="B38" s="21"/>
      <c r="C38" s="21"/>
      <c r="D38" s="21"/>
      <c r="E38" s="21"/>
      <c r="F38" s="21"/>
      <c r="G38" s="21"/>
      <c r="H38" s="21"/>
      <c r="I38" s="21"/>
      <c r="J38" s="21"/>
      <c r="K38" s="21"/>
    </row>
    <row r="39" spans="1:11">
      <c r="A39" s="21"/>
      <c r="B39" s="21"/>
      <c r="C39" s="21"/>
      <c r="D39" s="21"/>
      <c r="E39" s="21"/>
      <c r="F39" s="21"/>
      <c r="G39" s="21"/>
      <c r="H39" s="21"/>
      <c r="I39" s="21"/>
      <c r="J39" s="21"/>
      <c r="K39" s="21"/>
    </row>
    <row r="40" spans="1:11">
      <c r="A40" s="21"/>
      <c r="B40" s="21"/>
      <c r="C40" s="21"/>
      <c r="D40" s="21"/>
      <c r="E40" s="21"/>
      <c r="F40" s="21"/>
      <c r="G40" s="21"/>
      <c r="H40" s="21"/>
      <c r="I40" s="21"/>
      <c r="J40" s="21"/>
      <c r="K40" s="21"/>
    </row>
    <row r="41" spans="1:11">
      <c r="A41" s="21"/>
      <c r="B41" s="21"/>
      <c r="C41" s="21"/>
      <c r="D41" s="21"/>
      <c r="E41" s="21"/>
      <c r="F41" s="21"/>
      <c r="G41" s="21"/>
      <c r="H41" s="21"/>
      <c r="I41" s="21"/>
      <c r="J41" s="21"/>
      <c r="K41" s="21"/>
    </row>
    <row r="42" spans="1:11">
      <c r="A42" s="21"/>
      <c r="B42" s="21"/>
      <c r="C42" s="21"/>
      <c r="D42" s="21"/>
      <c r="E42" s="21"/>
      <c r="F42" s="21"/>
      <c r="G42" s="21"/>
      <c r="H42" s="21"/>
      <c r="I42" s="21"/>
      <c r="J42" s="21"/>
      <c r="K42" s="21"/>
    </row>
    <row r="43" spans="1:11">
      <c r="A43" s="21"/>
      <c r="B43" s="21"/>
      <c r="C43" s="21"/>
      <c r="D43" s="21"/>
      <c r="E43" s="21"/>
      <c r="F43" s="21"/>
      <c r="G43" s="21"/>
      <c r="H43" s="21"/>
      <c r="I43" s="21"/>
      <c r="J43" s="21"/>
      <c r="K43" s="21"/>
    </row>
    <row r="44" spans="1:11">
      <c r="A44" s="21"/>
      <c r="B44" s="21"/>
      <c r="C44" s="21"/>
      <c r="D44" s="21"/>
      <c r="E44" s="21"/>
      <c r="F44" s="21"/>
      <c r="G44" s="21"/>
      <c r="H44" s="21"/>
      <c r="I44" s="21"/>
      <c r="J44" s="21"/>
      <c r="K44" s="21"/>
    </row>
    <row r="45" spans="1:11">
      <c r="A45" s="21"/>
      <c r="B45" s="21"/>
      <c r="C45" s="21"/>
      <c r="D45" s="21"/>
      <c r="E45" s="21"/>
      <c r="F45" s="21"/>
      <c r="G45" s="21"/>
      <c r="H45" s="21"/>
      <c r="I45" s="21"/>
      <c r="J45" s="21"/>
      <c r="K45" s="21"/>
    </row>
    <row r="46" spans="1:11">
      <c r="A46" s="21"/>
      <c r="B46" s="21"/>
      <c r="C46" s="21"/>
      <c r="D46" s="21"/>
      <c r="E46" s="21"/>
      <c r="F46" s="21"/>
      <c r="G46" s="21"/>
      <c r="H46" s="21"/>
      <c r="I46" s="21"/>
      <c r="J46" s="21"/>
      <c r="K46" s="21"/>
    </row>
    <row r="47" spans="1:11">
      <c r="A47" s="21"/>
      <c r="B47" s="21"/>
      <c r="C47" s="21"/>
      <c r="D47" s="21"/>
      <c r="E47" s="21"/>
      <c r="F47" s="21"/>
      <c r="G47" s="21"/>
      <c r="H47" s="21"/>
      <c r="I47" s="21"/>
      <c r="J47" s="21"/>
      <c r="K47" s="21"/>
    </row>
    <row r="48" spans="1:11">
      <c r="A48" s="21"/>
      <c r="B48" s="21"/>
      <c r="C48" s="21"/>
      <c r="D48" s="21"/>
      <c r="E48" s="21"/>
      <c r="F48" s="21"/>
      <c r="G48" s="21"/>
      <c r="H48" s="21"/>
      <c r="I48" s="21"/>
      <c r="J48" s="21"/>
      <c r="K48" s="21"/>
    </row>
    <row r="49" spans="1:11">
      <c r="A49" s="21"/>
      <c r="B49" s="21"/>
      <c r="C49" s="21"/>
      <c r="D49" s="21"/>
      <c r="E49" s="21"/>
      <c r="F49" s="21"/>
      <c r="G49" s="21"/>
      <c r="H49" s="21"/>
      <c r="I49" s="21"/>
      <c r="J49" s="21"/>
      <c r="K49" s="21"/>
    </row>
    <row r="50" spans="1:11">
      <c r="A50" s="21"/>
      <c r="B50" s="21"/>
      <c r="C50" s="21"/>
      <c r="D50" s="21"/>
      <c r="E50" s="21"/>
      <c r="F50" s="21"/>
      <c r="G50" s="21"/>
      <c r="H50" s="21"/>
      <c r="I50" s="21"/>
      <c r="J50" s="21"/>
      <c r="K50" s="21"/>
    </row>
    <row r="51" spans="1:11">
      <c r="A51" s="21"/>
      <c r="B51" s="21"/>
      <c r="C51" s="21"/>
      <c r="D51" s="21"/>
      <c r="E51" s="21"/>
      <c r="F51" s="21"/>
      <c r="G51" s="21"/>
      <c r="H51" s="21"/>
      <c r="I51" s="21"/>
      <c r="J51" s="21"/>
      <c r="K51" s="21"/>
    </row>
    <row r="52" spans="1:11">
      <c r="A52" s="21"/>
      <c r="B52" s="21"/>
      <c r="C52" s="21"/>
      <c r="D52" s="21"/>
      <c r="E52" s="21"/>
      <c r="F52" s="21"/>
      <c r="G52" s="21"/>
      <c r="H52" s="21"/>
      <c r="I52" s="21"/>
      <c r="J52" s="21"/>
      <c r="K52" s="21"/>
    </row>
    <row r="53" spans="1:11">
      <c r="A53" s="21"/>
      <c r="B53" s="21"/>
      <c r="C53" s="21"/>
      <c r="D53" s="21"/>
      <c r="E53" s="21"/>
      <c r="F53" s="21"/>
      <c r="G53" s="21"/>
      <c r="H53" s="21"/>
      <c r="I53" s="21"/>
      <c r="J53" s="21"/>
      <c r="K53" s="21"/>
    </row>
    <row r="54" spans="1:11">
      <c r="A54" s="21"/>
      <c r="B54" s="21"/>
      <c r="C54" s="21"/>
      <c r="D54" s="21"/>
      <c r="E54" s="21"/>
      <c r="F54" s="21"/>
      <c r="G54" s="21"/>
      <c r="H54" s="21"/>
      <c r="I54" s="21"/>
      <c r="J54" s="21"/>
      <c r="K54" s="21"/>
    </row>
    <row r="55" spans="1:11">
      <c r="A55" s="21"/>
      <c r="B55" s="21"/>
      <c r="C55" s="21"/>
      <c r="D55" s="21"/>
      <c r="E55" s="21"/>
      <c r="F55" s="21"/>
      <c r="G55" s="21"/>
      <c r="H55" s="21"/>
      <c r="I55" s="21"/>
      <c r="J55" s="21"/>
      <c r="K55" s="21"/>
    </row>
    <row r="56" spans="1:11">
      <c r="A56" s="21"/>
      <c r="B56" s="21"/>
      <c r="C56" s="21"/>
      <c r="D56" s="21"/>
      <c r="E56" s="21"/>
      <c r="F56" s="21"/>
      <c r="G56" s="21"/>
      <c r="H56" s="21"/>
      <c r="I56" s="21"/>
      <c r="J56" s="21"/>
      <c r="K56" s="21"/>
    </row>
    <row r="57" spans="1:11">
      <c r="A57" s="21"/>
      <c r="B57" s="21"/>
      <c r="C57" s="21"/>
      <c r="D57" s="21"/>
      <c r="E57" s="21"/>
      <c r="F57" s="21"/>
      <c r="G57" s="21"/>
      <c r="H57" s="21"/>
      <c r="I57" s="21"/>
      <c r="J57" s="21"/>
      <c r="K57" s="21"/>
    </row>
    <row r="58" spans="1:11">
      <c r="A58" s="21"/>
      <c r="B58" s="21"/>
      <c r="C58" s="21"/>
      <c r="D58" s="21"/>
      <c r="E58" s="21"/>
      <c r="F58" s="21"/>
      <c r="G58" s="21"/>
      <c r="H58" s="21"/>
      <c r="I58" s="21"/>
      <c r="J58" s="21"/>
      <c r="K58" s="21"/>
    </row>
    <row r="59" spans="1:11">
      <c r="A59" s="21"/>
      <c r="B59" s="21"/>
      <c r="C59" s="21"/>
      <c r="D59" s="21"/>
      <c r="E59" s="21"/>
      <c r="F59" s="21"/>
      <c r="G59" s="21"/>
      <c r="H59" s="21"/>
      <c r="I59" s="21"/>
      <c r="J59" s="21"/>
      <c r="K59" s="21"/>
    </row>
    <row r="60" spans="1:11">
      <c r="A60" s="21"/>
      <c r="B60" s="21"/>
      <c r="C60" s="21"/>
      <c r="D60" s="21"/>
      <c r="E60" s="21"/>
      <c r="F60" s="21"/>
      <c r="G60" s="21"/>
      <c r="H60" s="21"/>
      <c r="I60" s="21"/>
      <c r="J60" s="21"/>
      <c r="K60" s="21"/>
    </row>
    <row r="61" spans="1:11">
      <c r="A61" s="21"/>
      <c r="B61" s="21"/>
      <c r="C61" s="21"/>
      <c r="D61" s="21"/>
      <c r="E61" s="21"/>
      <c r="F61" s="21"/>
      <c r="G61" s="21"/>
      <c r="H61" s="21"/>
      <c r="I61" s="21"/>
      <c r="J61" s="21"/>
      <c r="K61" s="21"/>
    </row>
    <row r="62" spans="1:11">
      <c r="A62" s="21"/>
      <c r="B62" s="21"/>
      <c r="C62" s="21"/>
      <c r="D62" s="21"/>
      <c r="E62" s="21"/>
      <c r="F62" s="21"/>
      <c r="G62" s="21"/>
      <c r="H62" s="21"/>
      <c r="I62" s="21"/>
      <c r="J62" s="21"/>
      <c r="K62" s="21"/>
    </row>
    <row r="63" spans="1:11">
      <c r="A63" s="21"/>
      <c r="B63" s="21"/>
      <c r="C63" s="21"/>
      <c r="D63" s="21"/>
      <c r="E63" s="21"/>
      <c r="F63" s="21"/>
      <c r="G63" s="21"/>
      <c r="H63" s="21"/>
      <c r="I63" s="21"/>
      <c r="J63" s="21"/>
      <c r="K63" s="21"/>
    </row>
    <row r="64" spans="1:11">
      <c r="A64" s="21"/>
      <c r="B64" s="21"/>
      <c r="C64" s="21"/>
      <c r="D64" s="21"/>
      <c r="E64" s="21"/>
      <c r="F64" s="21"/>
      <c r="G64" s="21"/>
      <c r="H64" s="21"/>
      <c r="I64" s="21"/>
      <c r="J64" s="21"/>
      <c r="K64" s="21"/>
    </row>
    <row r="65" spans="1:11">
      <c r="A65" s="21"/>
      <c r="B65" s="21"/>
      <c r="C65" s="21"/>
      <c r="D65" s="21"/>
      <c r="E65" s="21"/>
      <c r="F65" s="21"/>
      <c r="G65" s="21"/>
      <c r="H65" s="21"/>
      <c r="I65" s="21"/>
      <c r="J65" s="21"/>
      <c r="K65" s="21"/>
    </row>
    <row r="66" spans="1:11">
      <c r="A66" s="21"/>
      <c r="B66" s="21"/>
      <c r="C66" s="21"/>
      <c r="D66" s="21"/>
      <c r="E66" s="21"/>
      <c r="F66" s="21"/>
      <c r="G66" s="21"/>
      <c r="H66" s="21"/>
      <c r="I66" s="21"/>
      <c r="J66" s="21"/>
      <c r="K66" s="21"/>
    </row>
    <row r="67" spans="1:11">
      <c r="A67" s="21"/>
      <c r="B67" s="21"/>
      <c r="C67" s="21"/>
      <c r="D67" s="21"/>
      <c r="E67" s="21"/>
      <c r="F67" s="21"/>
      <c r="G67" s="21"/>
      <c r="H67" s="21"/>
      <c r="I67" s="21"/>
      <c r="J67" s="21"/>
      <c r="K67" s="21"/>
    </row>
    <row r="68" spans="1:11">
      <c r="A68" s="21"/>
      <c r="B68" s="21"/>
      <c r="C68" s="21"/>
      <c r="D68" s="21"/>
      <c r="E68" s="21"/>
      <c r="F68" s="21"/>
      <c r="G68" s="21"/>
      <c r="H68" s="21"/>
      <c r="I68" s="21"/>
      <c r="J68" s="21"/>
      <c r="K68" s="21"/>
    </row>
    <row r="69" spans="1:11">
      <c r="A69" s="21"/>
      <c r="B69" s="21"/>
      <c r="C69" s="21"/>
      <c r="D69" s="21"/>
      <c r="E69" s="21"/>
      <c r="F69" s="21"/>
      <c r="G69" s="21"/>
      <c r="H69" s="21"/>
      <c r="I69" s="21"/>
      <c r="J69" s="21"/>
      <c r="K69" s="21"/>
    </row>
    <row r="70" spans="1:11">
      <c r="A70" s="21"/>
      <c r="B70" s="21"/>
      <c r="C70" s="21"/>
      <c r="D70" s="21"/>
      <c r="E70" s="21"/>
      <c r="F70" s="21"/>
      <c r="G70" s="21"/>
      <c r="H70" s="21"/>
      <c r="I70" s="21"/>
      <c r="J70" s="21"/>
      <c r="K70" s="21"/>
    </row>
    <row r="71" spans="1:11">
      <c r="A71" s="21"/>
      <c r="B71" s="21"/>
      <c r="C71" s="21"/>
      <c r="D71" s="21"/>
      <c r="E71" s="21"/>
      <c r="F71" s="21"/>
      <c r="G71" s="21"/>
      <c r="H71" s="21"/>
      <c r="I71" s="21"/>
      <c r="J71" s="21"/>
      <c r="K71" s="21"/>
    </row>
    <row r="72" spans="1:11">
      <c r="A72" s="21"/>
      <c r="B72" s="21"/>
      <c r="C72" s="21"/>
      <c r="D72" s="21"/>
      <c r="E72" s="21"/>
      <c r="F72" s="21"/>
      <c r="G72" s="21"/>
      <c r="H72" s="21"/>
      <c r="I72" s="21"/>
      <c r="J72" s="21"/>
      <c r="K72" s="21"/>
    </row>
    <row r="73" spans="1:11">
      <c r="A73" s="21"/>
      <c r="B73" s="21"/>
      <c r="C73" s="21"/>
      <c r="D73" s="21"/>
      <c r="E73" s="21"/>
      <c r="F73" s="21"/>
      <c r="G73" s="21"/>
      <c r="H73" s="21"/>
      <c r="I73" s="21"/>
      <c r="J73" s="21"/>
      <c r="K73" s="21"/>
    </row>
    <row r="74" spans="1:11">
      <c r="A74" s="21"/>
      <c r="B74" s="21"/>
      <c r="C74" s="21"/>
      <c r="D74" s="21"/>
      <c r="E74" s="21"/>
      <c r="F74" s="21"/>
      <c r="G74" s="21"/>
      <c r="H74" s="21"/>
      <c r="I74" s="21"/>
      <c r="J74" s="21"/>
      <c r="K74" s="21"/>
    </row>
    <row r="75" spans="1:11">
      <c r="A75" s="21"/>
      <c r="B75" s="21"/>
      <c r="C75" s="21"/>
      <c r="D75" s="21"/>
      <c r="E75" s="21"/>
      <c r="F75" s="21"/>
      <c r="G75" s="21"/>
      <c r="H75" s="21"/>
      <c r="I75" s="21"/>
      <c r="J75" s="21"/>
      <c r="K75" s="21"/>
    </row>
    <row r="76" spans="1:11">
      <c r="A76" s="21"/>
      <c r="B76" s="21"/>
      <c r="C76" s="21"/>
      <c r="D76" s="21"/>
      <c r="E76" s="21"/>
      <c r="F76" s="21"/>
      <c r="G76" s="21"/>
      <c r="H76" s="21"/>
      <c r="I76" s="21"/>
      <c r="J76" s="21"/>
      <c r="K76" s="21"/>
    </row>
    <row r="77" spans="1:11">
      <c r="A77" s="21"/>
      <c r="B77" s="21"/>
      <c r="C77" s="21"/>
      <c r="D77" s="21"/>
      <c r="E77" s="21"/>
      <c r="F77" s="21"/>
      <c r="G77" s="21"/>
      <c r="H77" s="21"/>
      <c r="I77" s="21"/>
      <c r="J77" s="21"/>
      <c r="K77" s="21"/>
    </row>
    <row r="78" spans="1:11">
      <c r="A78" s="21"/>
      <c r="B78" s="21"/>
      <c r="C78" s="21"/>
      <c r="D78" s="21"/>
      <c r="E78" s="21"/>
      <c r="F78" s="21"/>
      <c r="G78" s="21"/>
      <c r="H78" s="21"/>
      <c r="I78" s="21"/>
      <c r="J78" s="21"/>
      <c r="K78" s="21"/>
    </row>
    <row r="79" spans="1:11">
      <c r="A79" s="21"/>
      <c r="B79" s="21"/>
      <c r="C79" s="21"/>
      <c r="D79" s="21"/>
      <c r="E79" s="21"/>
      <c r="F79" s="21"/>
      <c r="G79" s="21"/>
      <c r="H79" s="21"/>
      <c r="I79" s="21"/>
      <c r="J79" s="21"/>
      <c r="K79" s="21"/>
    </row>
    <row r="80" spans="1:11">
      <c r="A80" s="21"/>
      <c r="B80" s="21"/>
      <c r="C80" s="21"/>
      <c r="D80" s="21"/>
      <c r="E80" s="21"/>
      <c r="F80" s="21"/>
      <c r="G80" s="21"/>
      <c r="H80" s="21"/>
      <c r="I80" s="21"/>
      <c r="J80" s="21"/>
      <c r="K80" s="21"/>
    </row>
    <row r="81" spans="1:11">
      <c r="A81" s="21"/>
      <c r="B81" s="21"/>
      <c r="C81" s="21"/>
      <c r="D81" s="21"/>
      <c r="E81" s="21"/>
      <c r="F81" s="21"/>
      <c r="G81" s="21"/>
      <c r="H81" s="21"/>
      <c r="I81" s="21"/>
      <c r="J81" s="21"/>
      <c r="K81" s="21"/>
    </row>
    <row r="82" spans="1:11">
      <c r="A82" s="21"/>
      <c r="B82" s="21"/>
      <c r="C82" s="21"/>
      <c r="D82" s="21"/>
      <c r="E82" s="21"/>
      <c r="F82" s="21"/>
      <c r="G82" s="21"/>
      <c r="H82" s="21"/>
      <c r="I82" s="21"/>
      <c r="J82" s="21"/>
      <c r="K82" s="21"/>
    </row>
    <row r="83" spans="1:11">
      <c r="A83" s="21"/>
      <c r="B83" s="21"/>
      <c r="C83" s="21"/>
      <c r="D83" s="21"/>
      <c r="E83" s="21"/>
      <c r="F83" s="21"/>
      <c r="G83" s="21"/>
      <c r="H83" s="21"/>
      <c r="I83" s="21"/>
      <c r="J83" s="21"/>
      <c r="K83" s="21"/>
    </row>
    <row r="84" spans="1:11">
      <c r="A84" s="21"/>
      <c r="B84" s="21"/>
      <c r="C84" s="21"/>
      <c r="D84" s="21"/>
      <c r="E84" s="21"/>
      <c r="F84" s="21"/>
      <c r="G84" s="21"/>
      <c r="H84" s="21"/>
      <c r="I84" s="21"/>
      <c r="J84" s="21"/>
      <c r="K84" s="21"/>
    </row>
    <row r="85" spans="1:11">
      <c r="A85" s="21"/>
      <c r="B85" s="21"/>
      <c r="C85" s="21"/>
      <c r="D85" s="21"/>
      <c r="E85" s="21"/>
      <c r="F85" s="21"/>
      <c r="G85" s="21"/>
      <c r="H85" s="21"/>
      <c r="I85" s="21"/>
      <c r="J85" s="21"/>
      <c r="K85" s="21"/>
    </row>
    <row r="86" spans="1:11">
      <c r="A86" s="21"/>
      <c r="B86" s="21"/>
      <c r="C86" s="21"/>
      <c r="D86" s="21"/>
      <c r="E86" s="21"/>
      <c r="F86" s="21"/>
      <c r="G86" s="21"/>
      <c r="H86" s="21"/>
      <c r="I86" s="21"/>
      <c r="J86" s="21"/>
      <c r="K86" s="21"/>
    </row>
    <row r="87" spans="1:11">
      <c r="A87" s="21"/>
      <c r="B87" s="21"/>
      <c r="C87" s="21"/>
      <c r="D87" s="21"/>
      <c r="E87" s="21"/>
      <c r="F87" s="21"/>
      <c r="G87" s="21"/>
      <c r="H87" s="21"/>
      <c r="I87" s="21"/>
      <c r="J87" s="21"/>
      <c r="K87" s="21"/>
    </row>
    <row r="88" spans="1:11">
      <c r="A88" s="21"/>
      <c r="B88" s="21"/>
      <c r="C88" s="21"/>
      <c r="D88" s="21"/>
      <c r="E88" s="21"/>
      <c r="F88" s="21"/>
      <c r="G88" s="21"/>
      <c r="H88" s="21"/>
      <c r="I88" s="21"/>
      <c r="J88" s="21"/>
      <c r="K88" s="21"/>
    </row>
    <row r="89" spans="1:11">
      <c r="A89" s="21"/>
      <c r="B89" s="21"/>
      <c r="C89" s="21"/>
      <c r="D89" s="21"/>
      <c r="E89" s="21"/>
      <c r="F89" s="21"/>
      <c r="G89" s="21"/>
      <c r="H89" s="21"/>
      <c r="I89" s="21"/>
      <c r="J89" s="21"/>
      <c r="K89" s="21"/>
    </row>
    <row r="90" spans="1:11">
      <c r="A90" s="21"/>
      <c r="B90" s="21"/>
      <c r="C90" s="21"/>
      <c r="D90" s="21"/>
      <c r="E90" s="21"/>
      <c r="F90" s="21"/>
      <c r="G90" s="21"/>
      <c r="H90" s="21"/>
      <c r="I90" s="21"/>
      <c r="J90" s="21"/>
      <c r="K90" s="21"/>
    </row>
    <row r="91" spans="1:11">
      <c r="A91" s="21"/>
      <c r="B91" s="21"/>
      <c r="C91" s="21"/>
      <c r="D91" s="21"/>
      <c r="E91" s="21"/>
      <c r="F91" s="21"/>
      <c r="G91" s="21"/>
      <c r="H91" s="21"/>
      <c r="I91" s="21"/>
      <c r="J91" s="21"/>
      <c r="K91" s="21"/>
    </row>
    <row r="92" spans="1:11">
      <c r="A92" s="21"/>
      <c r="B92" s="21"/>
      <c r="C92" s="21"/>
      <c r="D92" s="21"/>
      <c r="E92" s="21"/>
      <c r="F92" s="21"/>
      <c r="G92" s="21"/>
      <c r="H92" s="21"/>
      <c r="I92" s="21"/>
      <c r="J92" s="21"/>
      <c r="K92" s="21"/>
    </row>
    <row r="93" spans="1:11">
      <c r="A93" s="21"/>
      <c r="B93" s="21"/>
      <c r="C93" s="21"/>
      <c r="D93" s="21"/>
      <c r="E93" s="21"/>
      <c r="F93" s="21"/>
      <c r="G93" s="21"/>
      <c r="H93" s="21"/>
      <c r="I93" s="21"/>
      <c r="J93" s="21"/>
      <c r="K93" s="21"/>
    </row>
    <row r="94" spans="1:11">
      <c r="A94" s="21"/>
      <c r="B94" s="21"/>
      <c r="C94" s="21"/>
      <c r="D94" s="21"/>
      <c r="E94" s="21"/>
      <c r="F94" s="21"/>
      <c r="G94" s="21"/>
      <c r="H94" s="21"/>
      <c r="I94" s="21"/>
      <c r="J94" s="21"/>
      <c r="K94" s="21"/>
    </row>
  </sheetData>
  <sheetProtection formatColumns="0" formatRows="0" insertColumns="0" insertRows="0"/>
  <printOptions horizontalCentered="1"/>
  <pageMargins left="0.25" right="0.25" top="0.75" bottom="0.75" header="0.3" footer="0.3"/>
  <pageSetup scale="96" orientation="portrait" r:id="rId1"/>
  <headerFooter scaleWithDoc="0">
    <oddHeader>&amp;C&amp;"-,Bold"&amp;20Cap Rate Comps</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210945" r:id="rId4" name="Button 1">
              <controlPr defaultSize="0" print="0" autoFill="0" autoPict="0" macro="[0]!PasteImageWithBorder_ExtraPage">
                <anchor moveWithCells="1" sizeWithCells="1">
                  <from>
                    <xdr:col>12</xdr:col>
                    <xdr:colOff>312420</xdr:colOff>
                    <xdr:row>3</xdr:row>
                    <xdr:rowOff>0</xdr:rowOff>
                  </from>
                  <to>
                    <xdr:col>15</xdr:col>
                    <xdr:colOff>304800</xdr:colOff>
                    <xdr:row>6</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F0C3C-1FAE-45AD-8AA4-FBB9EE40E9EB}">
  <sheetPr codeName="Sheet4">
    <tabColor theme="9" tint="-0.249977111117893"/>
  </sheetPr>
  <dimension ref="A1:O68"/>
  <sheetViews>
    <sheetView view="pageLayout" zoomScale="115" zoomScaleNormal="100" zoomScaleSheetLayoutView="115" zoomScalePageLayoutView="115" workbookViewId="0">
      <selection activeCell="D8" sqref="D8"/>
    </sheetView>
  </sheetViews>
  <sheetFormatPr defaultColWidth="8.88671875" defaultRowHeight="14.4"/>
  <cols>
    <col min="1" max="1" width="9.33203125" customWidth="1"/>
    <col min="15" max="15" width="9.33203125" customWidth="1"/>
  </cols>
  <sheetData>
    <row r="1" spans="1:15">
      <c r="A1" s="21"/>
      <c r="B1" s="21"/>
      <c r="C1" s="21"/>
      <c r="D1" s="21"/>
      <c r="E1" s="21"/>
      <c r="F1" s="21"/>
      <c r="G1" s="21"/>
      <c r="H1" s="21"/>
      <c r="I1" s="21"/>
      <c r="J1" s="21"/>
      <c r="K1" s="21"/>
      <c r="L1" s="21"/>
      <c r="M1" s="21"/>
      <c r="N1" s="21"/>
      <c r="O1" s="21"/>
    </row>
    <row r="2" spans="1:15">
      <c r="A2" s="21"/>
      <c r="B2" s="21"/>
      <c r="C2" s="21"/>
      <c r="D2" s="21"/>
      <c r="E2" s="21"/>
      <c r="F2" s="21"/>
      <c r="G2" s="21"/>
      <c r="H2" s="21"/>
      <c r="I2" s="21"/>
      <c r="J2" s="21"/>
      <c r="K2" s="21"/>
      <c r="L2" s="21"/>
      <c r="M2" s="21"/>
      <c r="N2" s="21"/>
      <c r="O2" s="21"/>
    </row>
    <row r="3" spans="1:15">
      <c r="A3" s="21"/>
      <c r="B3" s="21"/>
      <c r="C3" s="21"/>
      <c r="D3" s="21"/>
      <c r="E3" s="21"/>
      <c r="F3" s="21"/>
      <c r="G3" s="21"/>
      <c r="H3" s="21"/>
      <c r="I3" s="21"/>
      <c r="J3" s="21"/>
      <c r="K3" s="21"/>
      <c r="L3" s="21"/>
      <c r="M3" s="21"/>
      <c r="N3" s="21"/>
      <c r="O3" s="21"/>
    </row>
    <row r="4" spans="1:15">
      <c r="A4" s="21"/>
      <c r="B4" s="21"/>
      <c r="C4" s="21"/>
      <c r="D4" s="21"/>
      <c r="E4" s="21"/>
      <c r="F4" s="21"/>
      <c r="G4" s="21"/>
      <c r="H4" s="21"/>
      <c r="I4" s="21"/>
      <c r="J4" s="21"/>
      <c r="K4" s="21"/>
      <c r="L4" s="21"/>
      <c r="M4" s="21"/>
      <c r="N4" s="21"/>
      <c r="O4" s="21"/>
    </row>
    <row r="5" spans="1:15">
      <c r="A5" s="21"/>
      <c r="B5" s="21"/>
      <c r="C5" s="21"/>
      <c r="D5" s="21"/>
      <c r="E5" s="21"/>
      <c r="F5" s="21"/>
      <c r="G5" s="21"/>
      <c r="H5" s="21"/>
      <c r="I5" s="21"/>
      <c r="J5" s="21"/>
      <c r="K5" s="21"/>
      <c r="L5" s="21"/>
      <c r="M5" s="21"/>
      <c r="N5" s="21"/>
      <c r="O5" s="21"/>
    </row>
    <row r="6" spans="1:15">
      <c r="A6" s="21"/>
      <c r="B6" s="21"/>
      <c r="C6" s="21"/>
      <c r="D6" s="21"/>
      <c r="E6" s="21"/>
      <c r="F6" s="21"/>
      <c r="G6" s="21"/>
      <c r="H6" s="21"/>
      <c r="I6" s="21"/>
      <c r="J6" s="21"/>
      <c r="K6" s="21"/>
      <c r="L6" s="21"/>
      <c r="M6" s="21"/>
      <c r="N6" s="21"/>
      <c r="O6" s="21"/>
    </row>
    <row r="7" spans="1:15">
      <c r="A7" s="21"/>
      <c r="B7" s="21"/>
      <c r="C7" s="21"/>
      <c r="D7" s="21"/>
      <c r="E7" s="21"/>
      <c r="F7" s="21"/>
      <c r="G7" s="21"/>
      <c r="H7" s="21"/>
      <c r="I7" s="21"/>
      <c r="J7" s="21"/>
      <c r="K7" s="21"/>
      <c r="L7" s="21"/>
      <c r="M7" s="21"/>
      <c r="N7" s="21"/>
      <c r="O7" s="21"/>
    </row>
    <row r="8" spans="1:15">
      <c r="A8" s="21"/>
      <c r="B8" s="21"/>
      <c r="C8" s="21"/>
      <c r="D8" s="21"/>
      <c r="E8" s="21"/>
      <c r="F8" s="21"/>
      <c r="G8" s="21"/>
      <c r="H8" s="21"/>
      <c r="I8" s="21"/>
      <c r="J8" s="21"/>
      <c r="K8" s="21"/>
      <c r="L8" s="21"/>
      <c r="M8" s="21"/>
      <c r="N8" s="21"/>
      <c r="O8" s="21"/>
    </row>
    <row r="9" spans="1:15">
      <c r="A9" s="21"/>
      <c r="B9" s="21"/>
      <c r="C9" s="21"/>
      <c r="D9" s="21"/>
      <c r="E9" s="21"/>
      <c r="F9" s="21"/>
      <c r="G9" s="21"/>
      <c r="H9" s="21"/>
      <c r="I9" s="21"/>
      <c r="J9" s="21"/>
      <c r="K9" s="21"/>
      <c r="L9" s="21"/>
      <c r="M9" s="21"/>
      <c r="N9" s="21"/>
      <c r="O9" s="21"/>
    </row>
    <row r="10" spans="1:15">
      <c r="A10" s="21"/>
      <c r="B10" s="21"/>
      <c r="C10" s="21"/>
      <c r="D10" s="21"/>
      <c r="E10" s="21"/>
      <c r="F10" s="21"/>
      <c r="G10" s="21"/>
      <c r="H10" s="21"/>
      <c r="I10" s="21"/>
      <c r="J10" s="21"/>
      <c r="K10" s="21"/>
      <c r="L10" s="21"/>
      <c r="M10" s="21"/>
      <c r="N10" s="21"/>
      <c r="O10" s="21"/>
    </row>
    <row r="11" spans="1:15">
      <c r="A11" s="21"/>
      <c r="B11" s="21"/>
      <c r="C11" s="21"/>
      <c r="D11" s="21"/>
      <c r="E11" s="21"/>
      <c r="F11" s="21"/>
      <c r="G11" s="21"/>
      <c r="H11" s="21"/>
      <c r="I11" s="21"/>
      <c r="J11" s="21"/>
      <c r="K11" s="21"/>
      <c r="L11" s="21"/>
      <c r="M11" s="21"/>
      <c r="N11" s="21"/>
      <c r="O11" s="21"/>
    </row>
    <row r="12" spans="1:15">
      <c r="A12" s="21"/>
      <c r="B12" s="21"/>
      <c r="C12" s="21"/>
      <c r="D12" s="21"/>
      <c r="E12" s="21"/>
      <c r="F12" s="21"/>
      <c r="G12" s="21"/>
      <c r="H12" s="21"/>
      <c r="I12" s="21"/>
      <c r="J12" s="21"/>
      <c r="K12" s="21"/>
      <c r="L12" s="21"/>
      <c r="M12" s="21"/>
      <c r="N12" s="21"/>
      <c r="O12" s="21"/>
    </row>
    <row r="13" spans="1:15">
      <c r="A13" s="21"/>
      <c r="B13" s="21"/>
      <c r="C13" s="21"/>
      <c r="D13" s="21"/>
      <c r="E13" s="21"/>
      <c r="F13" s="21"/>
      <c r="G13" s="21"/>
      <c r="H13" s="21"/>
      <c r="I13" s="21"/>
      <c r="J13" s="21"/>
      <c r="K13" s="21"/>
      <c r="L13" s="21"/>
      <c r="M13" s="21"/>
      <c r="N13" s="21"/>
      <c r="O13" s="21"/>
    </row>
    <row r="14" spans="1:15">
      <c r="A14" s="21"/>
      <c r="B14" s="21"/>
      <c r="C14" s="21"/>
      <c r="D14" s="21"/>
      <c r="E14" s="21"/>
      <c r="F14" s="21"/>
      <c r="G14" s="21"/>
      <c r="H14" s="21"/>
      <c r="I14" s="21"/>
      <c r="J14" s="21"/>
      <c r="K14" s="21"/>
      <c r="L14" s="21"/>
      <c r="M14" s="21"/>
      <c r="N14" s="21"/>
      <c r="O14" s="21"/>
    </row>
    <row r="15" spans="1:15">
      <c r="A15" s="21"/>
      <c r="B15" s="21"/>
      <c r="C15" s="21"/>
      <c r="D15" s="21"/>
      <c r="E15" s="21"/>
      <c r="F15" s="21"/>
      <c r="G15" s="21"/>
      <c r="H15" s="21"/>
      <c r="I15" s="21"/>
      <c r="J15" s="21"/>
      <c r="K15" s="21"/>
      <c r="L15" s="21"/>
      <c r="M15" s="21"/>
      <c r="N15" s="21"/>
      <c r="O15" s="21"/>
    </row>
    <row r="16" spans="1:15">
      <c r="A16" s="21"/>
      <c r="B16" s="21"/>
      <c r="C16" s="21"/>
      <c r="D16" s="21"/>
      <c r="E16" s="21"/>
      <c r="F16" s="21"/>
      <c r="G16" s="21"/>
      <c r="H16" s="21"/>
      <c r="I16" s="21"/>
      <c r="J16" s="21"/>
      <c r="K16" s="21"/>
      <c r="L16" s="21"/>
      <c r="M16" s="21"/>
      <c r="N16" s="21"/>
      <c r="O16" s="21"/>
    </row>
    <row r="17" spans="1:15">
      <c r="A17" s="21"/>
      <c r="B17" s="21"/>
      <c r="C17" s="21"/>
      <c r="D17" s="21"/>
      <c r="E17" s="21"/>
      <c r="F17" s="21"/>
      <c r="G17" s="21"/>
      <c r="H17" s="21"/>
      <c r="I17" s="21"/>
      <c r="J17" s="21"/>
      <c r="K17" s="21"/>
      <c r="L17" s="21"/>
      <c r="M17" s="21"/>
      <c r="N17" s="21"/>
      <c r="O17" s="21"/>
    </row>
    <row r="18" spans="1:15">
      <c r="A18" s="21"/>
      <c r="B18" s="21"/>
      <c r="C18" s="21"/>
      <c r="D18" s="21"/>
      <c r="E18" s="21"/>
      <c r="F18" s="21"/>
      <c r="G18" s="21"/>
      <c r="H18" s="21"/>
      <c r="I18" s="21"/>
      <c r="J18" s="21"/>
      <c r="K18" s="21"/>
      <c r="L18" s="21"/>
      <c r="M18" s="21"/>
      <c r="N18" s="21"/>
      <c r="O18" s="21"/>
    </row>
    <row r="19" spans="1:15">
      <c r="A19" s="21"/>
      <c r="B19" s="21"/>
      <c r="C19" s="21"/>
      <c r="D19" s="21"/>
      <c r="E19" s="21"/>
      <c r="F19" s="21"/>
      <c r="G19" s="21"/>
      <c r="H19" s="21"/>
      <c r="I19" s="21"/>
      <c r="J19" s="21"/>
      <c r="K19" s="21"/>
      <c r="L19" s="21"/>
      <c r="M19" s="21"/>
      <c r="N19" s="21"/>
      <c r="O19" s="21"/>
    </row>
    <row r="20" spans="1:15">
      <c r="A20" s="21"/>
      <c r="B20" s="21"/>
      <c r="C20" s="21"/>
      <c r="D20" s="21"/>
      <c r="E20" s="21"/>
      <c r="F20" s="21"/>
      <c r="G20" s="21"/>
      <c r="H20" s="21"/>
      <c r="I20" s="21"/>
      <c r="J20" s="21"/>
      <c r="K20" s="21"/>
      <c r="L20" s="21"/>
      <c r="M20" s="21"/>
      <c r="N20" s="21"/>
      <c r="O20" s="21"/>
    </row>
    <row r="21" spans="1:15">
      <c r="A21" s="21"/>
      <c r="B21" s="21"/>
      <c r="C21" s="21"/>
      <c r="D21" s="21"/>
      <c r="E21" s="21"/>
      <c r="F21" s="21"/>
      <c r="G21" s="21"/>
      <c r="H21" s="21"/>
      <c r="I21" s="21"/>
      <c r="J21" s="21"/>
      <c r="K21" s="21"/>
      <c r="L21" s="21"/>
      <c r="M21" s="21"/>
      <c r="N21" s="21"/>
      <c r="O21" s="21"/>
    </row>
    <row r="22" spans="1:15">
      <c r="A22" s="21"/>
      <c r="B22" s="21"/>
      <c r="C22" s="21"/>
      <c r="D22" s="21"/>
      <c r="E22" s="21"/>
      <c r="F22" s="21"/>
      <c r="G22" s="21"/>
      <c r="H22" s="21"/>
      <c r="I22" s="21"/>
      <c r="J22" s="21"/>
      <c r="K22" s="21"/>
      <c r="L22" s="21"/>
      <c r="M22" s="21"/>
      <c r="N22" s="21"/>
      <c r="O22" s="21"/>
    </row>
    <row r="23" spans="1:15">
      <c r="A23" s="21"/>
      <c r="B23" s="21"/>
      <c r="C23" s="21"/>
      <c r="D23" s="21"/>
      <c r="E23" s="21"/>
      <c r="F23" s="21"/>
      <c r="G23" s="21"/>
      <c r="H23" s="21"/>
      <c r="I23" s="21"/>
      <c r="J23" s="21"/>
      <c r="K23" s="21"/>
      <c r="L23" s="21"/>
      <c r="M23" s="21"/>
      <c r="N23" s="21"/>
      <c r="O23" s="21"/>
    </row>
    <row r="24" spans="1:15">
      <c r="A24" s="21"/>
      <c r="B24" s="21"/>
      <c r="C24" s="21"/>
      <c r="D24" s="21"/>
      <c r="E24" s="21"/>
      <c r="F24" s="21"/>
      <c r="G24" s="21"/>
      <c r="H24" s="21"/>
      <c r="I24" s="21"/>
      <c r="J24" s="21"/>
      <c r="K24" s="21"/>
      <c r="L24" s="21"/>
      <c r="M24" s="21"/>
      <c r="N24" s="21"/>
      <c r="O24" s="21"/>
    </row>
    <row r="25" spans="1:15">
      <c r="A25" s="21"/>
      <c r="B25" s="21"/>
      <c r="C25" s="21"/>
      <c r="D25" s="21"/>
      <c r="E25" s="21"/>
      <c r="F25" s="21"/>
      <c r="G25" s="21"/>
      <c r="H25" s="21"/>
      <c r="I25" s="21"/>
      <c r="J25" s="21"/>
      <c r="K25" s="21"/>
      <c r="L25" s="21"/>
      <c r="M25" s="21"/>
      <c r="N25" s="21"/>
      <c r="O25" s="21"/>
    </row>
    <row r="26" spans="1:15">
      <c r="A26" s="21"/>
      <c r="B26" s="21"/>
      <c r="C26" s="21"/>
      <c r="D26" s="21"/>
      <c r="E26" s="21"/>
      <c r="F26" s="21"/>
      <c r="G26" s="21"/>
      <c r="H26" s="21"/>
      <c r="I26" s="21"/>
      <c r="J26" s="21"/>
      <c r="K26" s="21"/>
      <c r="L26" s="21"/>
      <c r="M26" s="21"/>
      <c r="N26" s="21"/>
      <c r="O26" s="21"/>
    </row>
    <row r="27" spans="1:15">
      <c r="A27" s="21"/>
      <c r="B27" s="21"/>
      <c r="C27" s="21"/>
      <c r="D27" s="21"/>
      <c r="E27" s="21"/>
      <c r="F27" s="21"/>
      <c r="G27" s="21"/>
      <c r="H27" s="21"/>
      <c r="I27" s="21"/>
      <c r="J27" s="21"/>
      <c r="K27" s="21"/>
      <c r="L27" s="21"/>
      <c r="M27" s="21"/>
      <c r="N27" s="21"/>
      <c r="O27" s="21"/>
    </row>
    <row r="28" spans="1:15">
      <c r="A28" s="21"/>
      <c r="B28" s="21"/>
      <c r="C28" s="21"/>
      <c r="D28" s="21"/>
      <c r="E28" s="21"/>
      <c r="F28" s="21"/>
      <c r="G28" s="21"/>
      <c r="H28" s="21"/>
      <c r="I28" s="21"/>
      <c r="J28" s="21"/>
      <c r="K28" s="21"/>
      <c r="L28" s="21"/>
      <c r="M28" s="21"/>
      <c r="N28" s="21"/>
      <c r="O28" s="21"/>
    </row>
    <row r="29" spans="1:15">
      <c r="A29" s="21"/>
      <c r="B29" s="21"/>
      <c r="C29" s="21"/>
      <c r="D29" s="21"/>
      <c r="E29" s="21"/>
      <c r="F29" s="21"/>
      <c r="G29" s="21"/>
      <c r="H29" s="21"/>
      <c r="I29" s="21"/>
      <c r="J29" s="21"/>
      <c r="K29" s="21"/>
      <c r="L29" s="21"/>
      <c r="M29" s="21"/>
      <c r="N29" s="21"/>
      <c r="O29" s="21"/>
    </row>
    <row r="30" spans="1:15">
      <c r="A30" s="21"/>
      <c r="B30" s="21"/>
      <c r="C30" s="21"/>
      <c r="D30" s="21"/>
      <c r="E30" s="21"/>
      <c r="F30" s="21"/>
      <c r="G30" s="21"/>
      <c r="H30" s="21"/>
      <c r="I30" s="21"/>
      <c r="J30" s="21"/>
      <c r="K30" s="21"/>
      <c r="L30" s="21"/>
      <c r="M30" s="21"/>
      <c r="N30" s="21"/>
      <c r="O30" s="21"/>
    </row>
    <row r="31" spans="1:15">
      <c r="A31" s="21"/>
      <c r="B31" s="21"/>
      <c r="C31" s="21"/>
      <c r="D31" s="21"/>
      <c r="E31" s="21"/>
      <c r="F31" s="21"/>
      <c r="G31" s="21"/>
      <c r="H31" s="21"/>
      <c r="I31" s="21"/>
      <c r="J31" s="21"/>
      <c r="K31" s="21"/>
      <c r="L31" s="21"/>
      <c r="M31" s="21"/>
      <c r="N31" s="21"/>
      <c r="O31" s="21"/>
    </row>
    <row r="32" spans="1:15">
      <c r="A32" s="21"/>
      <c r="B32" s="21"/>
      <c r="C32" s="21"/>
      <c r="D32" s="21"/>
      <c r="E32" s="21"/>
      <c r="F32" s="21"/>
      <c r="G32" s="21"/>
      <c r="H32" s="21"/>
      <c r="I32" s="21"/>
      <c r="J32" s="21"/>
      <c r="K32" s="21"/>
      <c r="L32" s="21"/>
      <c r="M32" s="21"/>
      <c r="N32" s="21"/>
      <c r="O32" s="21"/>
    </row>
    <row r="33" spans="1:15">
      <c r="A33" s="21"/>
      <c r="B33" s="21"/>
      <c r="C33" s="21"/>
      <c r="D33" s="21"/>
      <c r="E33" s="21"/>
      <c r="F33" s="21"/>
      <c r="G33" s="21"/>
      <c r="H33" s="21"/>
      <c r="I33" s="21"/>
      <c r="J33" s="21"/>
      <c r="K33" s="21"/>
      <c r="L33" s="21"/>
      <c r="M33" s="21"/>
      <c r="N33" s="21"/>
      <c r="O33" s="21"/>
    </row>
    <row r="34" spans="1:15">
      <c r="A34" s="21"/>
      <c r="B34" s="21"/>
      <c r="C34" s="21"/>
      <c r="D34" s="21"/>
      <c r="E34" s="21"/>
      <c r="F34" s="21"/>
      <c r="G34" s="21"/>
      <c r="H34" s="21"/>
      <c r="I34" s="21"/>
      <c r="J34" s="21"/>
      <c r="K34" s="21"/>
      <c r="L34" s="21"/>
      <c r="M34" s="21"/>
      <c r="N34" s="21"/>
      <c r="O34" s="21"/>
    </row>
    <row r="35" spans="1:15">
      <c r="A35" s="21"/>
      <c r="B35" s="21"/>
      <c r="C35" s="21"/>
      <c r="D35" s="21"/>
      <c r="E35" s="21"/>
      <c r="F35" s="21"/>
      <c r="G35" s="21"/>
      <c r="H35" s="21"/>
      <c r="I35" s="21"/>
      <c r="J35" s="21"/>
      <c r="K35" s="21"/>
      <c r="L35" s="21"/>
      <c r="M35" s="21"/>
      <c r="N35" s="21"/>
      <c r="O35" s="21"/>
    </row>
    <row r="36" spans="1:15">
      <c r="A36" s="21"/>
      <c r="B36" s="21"/>
      <c r="C36" s="21"/>
      <c r="D36" s="21"/>
      <c r="E36" s="21"/>
      <c r="F36" s="21"/>
      <c r="G36" s="21"/>
      <c r="H36" s="21"/>
      <c r="I36" s="21"/>
      <c r="J36" s="21"/>
      <c r="K36" s="21"/>
      <c r="L36" s="21"/>
      <c r="M36" s="21"/>
      <c r="N36" s="21"/>
      <c r="O36" s="21"/>
    </row>
    <row r="37" spans="1:15">
      <c r="A37" s="21"/>
      <c r="B37" s="21"/>
      <c r="C37" s="21"/>
      <c r="D37" s="21"/>
      <c r="E37" s="21"/>
      <c r="F37" s="21"/>
      <c r="G37" s="21"/>
      <c r="H37" s="21"/>
      <c r="I37" s="21"/>
      <c r="J37" s="21"/>
      <c r="K37" s="21"/>
      <c r="L37" s="21"/>
      <c r="M37" s="21"/>
      <c r="N37" s="21"/>
      <c r="O37" s="21"/>
    </row>
    <row r="38" spans="1:15">
      <c r="A38" s="21"/>
      <c r="B38" s="21"/>
      <c r="C38" s="21"/>
      <c r="D38" s="21"/>
      <c r="E38" s="21"/>
      <c r="F38" s="21"/>
      <c r="G38" s="21"/>
      <c r="H38" s="21"/>
      <c r="I38" s="21"/>
      <c r="J38" s="21"/>
      <c r="K38" s="21"/>
      <c r="L38" s="21"/>
      <c r="M38" s="21"/>
      <c r="N38" s="21"/>
      <c r="O38" s="21"/>
    </row>
    <row r="39" spans="1:15">
      <c r="A39" s="21"/>
      <c r="B39" s="21"/>
      <c r="C39" s="21"/>
      <c r="D39" s="21"/>
      <c r="E39" s="21"/>
      <c r="F39" s="21"/>
      <c r="G39" s="21"/>
      <c r="H39" s="21"/>
      <c r="I39" s="21"/>
      <c r="J39" s="21"/>
      <c r="K39" s="21"/>
      <c r="L39" s="21"/>
      <c r="M39" s="21"/>
      <c r="N39" s="21"/>
      <c r="O39" s="21"/>
    </row>
    <row r="40" spans="1:15">
      <c r="A40" s="21"/>
      <c r="B40" s="21"/>
      <c r="C40" s="21"/>
      <c r="D40" s="21"/>
      <c r="E40" s="21"/>
      <c r="F40" s="21"/>
      <c r="G40" s="21"/>
      <c r="H40" s="21"/>
      <c r="I40" s="21"/>
      <c r="J40" s="21"/>
      <c r="K40" s="21"/>
      <c r="L40" s="21"/>
      <c r="M40" s="21"/>
      <c r="N40" s="21"/>
      <c r="O40" s="21"/>
    </row>
    <row r="41" spans="1:15">
      <c r="A41" s="21"/>
      <c r="B41" s="21"/>
      <c r="C41" s="21"/>
      <c r="D41" s="21"/>
      <c r="E41" s="21"/>
      <c r="F41" s="21"/>
      <c r="G41" s="21"/>
      <c r="H41" s="21"/>
      <c r="I41" s="21"/>
      <c r="J41" s="21"/>
      <c r="K41" s="21"/>
      <c r="L41" s="21"/>
      <c r="M41" s="21"/>
      <c r="N41" s="21"/>
      <c r="O41" s="21"/>
    </row>
    <row r="42" spans="1:15">
      <c r="A42" s="21"/>
      <c r="B42" s="21"/>
      <c r="C42" s="21"/>
      <c r="D42" s="21"/>
      <c r="E42" s="21"/>
      <c r="F42" s="21"/>
      <c r="G42" s="21"/>
      <c r="H42" s="21"/>
      <c r="I42" s="21"/>
      <c r="J42" s="21"/>
      <c r="K42" s="21"/>
      <c r="L42" s="21"/>
      <c r="M42" s="21"/>
      <c r="N42" s="21"/>
      <c r="O42" s="21"/>
    </row>
    <row r="43" spans="1:15">
      <c r="A43" s="21"/>
      <c r="B43" s="21"/>
      <c r="C43" s="21"/>
      <c r="D43" s="21"/>
      <c r="E43" s="21"/>
      <c r="F43" s="21"/>
      <c r="G43" s="21"/>
      <c r="H43" s="21"/>
      <c r="I43" s="21"/>
      <c r="J43" s="21"/>
      <c r="K43" s="21"/>
      <c r="L43" s="21"/>
      <c r="M43" s="21"/>
      <c r="N43" s="21"/>
      <c r="O43" s="21"/>
    </row>
    <row r="44" spans="1:15">
      <c r="A44" s="21"/>
      <c r="B44" s="21"/>
      <c r="C44" s="21"/>
      <c r="D44" s="21"/>
      <c r="E44" s="21"/>
      <c r="F44" s="21"/>
      <c r="G44" s="21"/>
      <c r="H44" s="21"/>
      <c r="I44" s="21"/>
      <c r="J44" s="21"/>
      <c r="K44" s="21"/>
      <c r="L44" s="21"/>
      <c r="M44" s="21"/>
      <c r="N44" s="21"/>
      <c r="O44" s="21"/>
    </row>
    <row r="45" spans="1:15">
      <c r="A45" s="21"/>
      <c r="B45" s="21"/>
      <c r="C45" s="21"/>
      <c r="D45" s="21"/>
      <c r="E45" s="21"/>
      <c r="F45" s="21"/>
      <c r="G45" s="21"/>
      <c r="H45" s="21"/>
      <c r="I45" s="21"/>
      <c r="J45" s="21"/>
      <c r="K45" s="21"/>
      <c r="L45" s="21"/>
      <c r="M45" s="21"/>
      <c r="N45" s="21"/>
      <c r="O45" s="21"/>
    </row>
    <row r="46" spans="1:15">
      <c r="A46" s="21"/>
      <c r="B46" s="21"/>
      <c r="C46" s="21"/>
      <c r="D46" s="21"/>
      <c r="E46" s="21"/>
      <c r="F46" s="21"/>
      <c r="G46" s="21"/>
      <c r="H46" s="21"/>
      <c r="I46" s="21"/>
      <c r="J46" s="21"/>
      <c r="K46" s="21"/>
      <c r="L46" s="21"/>
      <c r="M46" s="21"/>
      <c r="N46" s="21"/>
      <c r="O46" s="21"/>
    </row>
    <row r="47" spans="1:15">
      <c r="A47" s="21"/>
      <c r="B47" s="21"/>
      <c r="C47" s="21"/>
      <c r="D47" s="21"/>
      <c r="E47" s="21"/>
      <c r="F47" s="21"/>
      <c r="G47" s="21"/>
      <c r="H47" s="21"/>
      <c r="I47" s="21"/>
      <c r="J47" s="21"/>
      <c r="K47" s="21"/>
      <c r="L47" s="21"/>
      <c r="M47" s="21"/>
      <c r="N47" s="21"/>
      <c r="O47" s="21"/>
    </row>
    <row r="48" spans="1:15">
      <c r="A48" s="21"/>
      <c r="B48" s="21"/>
      <c r="C48" s="21"/>
      <c r="D48" s="21"/>
      <c r="E48" s="21"/>
      <c r="F48" s="21"/>
      <c r="G48" s="21"/>
      <c r="H48" s="21"/>
      <c r="I48" s="21"/>
      <c r="J48" s="21"/>
      <c r="K48" s="21"/>
      <c r="L48" s="21"/>
      <c r="M48" s="21"/>
      <c r="N48" s="21"/>
      <c r="O48" s="21"/>
    </row>
    <row r="49" spans="1:15">
      <c r="A49" s="21"/>
      <c r="B49" s="21"/>
      <c r="C49" s="21"/>
      <c r="D49" s="21"/>
      <c r="E49" s="21"/>
      <c r="F49" s="21"/>
      <c r="G49" s="21"/>
      <c r="H49" s="21"/>
      <c r="I49" s="21"/>
      <c r="J49" s="21"/>
      <c r="K49" s="21"/>
      <c r="L49" s="21"/>
      <c r="M49" s="21"/>
      <c r="N49" s="21"/>
      <c r="O49" s="21"/>
    </row>
    <row r="50" spans="1:15">
      <c r="A50" s="21"/>
      <c r="B50" s="21"/>
      <c r="C50" s="21"/>
      <c r="D50" s="21"/>
      <c r="E50" s="21"/>
      <c r="F50" s="21"/>
      <c r="G50" s="21"/>
      <c r="H50" s="21"/>
      <c r="I50" s="21"/>
      <c r="J50" s="21"/>
      <c r="K50" s="21"/>
      <c r="L50" s="21"/>
      <c r="M50" s="21"/>
      <c r="N50" s="21"/>
      <c r="O50" s="21"/>
    </row>
    <row r="51" spans="1:15">
      <c r="A51" s="21"/>
      <c r="B51" s="21"/>
      <c r="C51" s="21"/>
      <c r="D51" s="21"/>
      <c r="E51" s="21"/>
      <c r="F51" s="21"/>
      <c r="G51" s="21"/>
      <c r="H51" s="21"/>
      <c r="I51" s="21"/>
      <c r="J51" s="21"/>
      <c r="K51" s="21"/>
      <c r="L51" s="21"/>
      <c r="M51" s="21"/>
      <c r="N51" s="21"/>
      <c r="O51" s="21"/>
    </row>
    <row r="52" spans="1:15">
      <c r="A52" s="21"/>
      <c r="B52" s="21"/>
      <c r="C52" s="21"/>
      <c r="D52" s="21"/>
      <c r="E52" s="21"/>
      <c r="F52" s="21"/>
      <c r="G52" s="21"/>
      <c r="H52" s="21"/>
      <c r="I52" s="21"/>
      <c r="J52" s="21"/>
      <c r="K52" s="21"/>
      <c r="L52" s="21"/>
      <c r="M52" s="21"/>
      <c r="N52" s="21"/>
      <c r="O52" s="21"/>
    </row>
    <row r="53" spans="1:15">
      <c r="A53" s="21"/>
      <c r="B53" s="21"/>
      <c r="C53" s="21"/>
      <c r="D53" s="21"/>
      <c r="E53" s="21"/>
      <c r="F53" s="21"/>
      <c r="G53" s="21"/>
      <c r="H53" s="21"/>
      <c r="I53" s="21"/>
      <c r="J53" s="21"/>
      <c r="K53" s="21"/>
      <c r="L53" s="21"/>
      <c r="M53" s="21"/>
      <c r="N53" s="21"/>
      <c r="O53" s="21"/>
    </row>
    <row r="54" spans="1:15">
      <c r="A54" s="21"/>
      <c r="B54" s="21"/>
      <c r="C54" s="21"/>
      <c r="D54" s="21"/>
      <c r="E54" s="21"/>
      <c r="F54" s="21"/>
      <c r="G54" s="21"/>
      <c r="H54" s="21"/>
      <c r="I54" s="21"/>
      <c r="J54" s="21"/>
      <c r="K54" s="21"/>
      <c r="L54" s="21"/>
      <c r="M54" s="21"/>
      <c r="N54" s="21"/>
      <c r="O54" s="21"/>
    </row>
    <row r="55" spans="1:15">
      <c r="A55" s="21"/>
      <c r="B55" s="21"/>
      <c r="C55" s="21"/>
      <c r="D55" s="21"/>
      <c r="E55" s="21"/>
      <c r="F55" s="21"/>
      <c r="G55" s="21"/>
      <c r="H55" s="21"/>
      <c r="I55" s="21"/>
      <c r="J55" s="21"/>
      <c r="K55" s="21"/>
      <c r="L55" s="21"/>
      <c r="M55" s="21"/>
      <c r="N55" s="21"/>
      <c r="O55" s="21"/>
    </row>
    <row r="56" spans="1:15">
      <c r="A56" s="21"/>
      <c r="B56" s="21"/>
      <c r="C56" s="21"/>
      <c r="D56" s="21"/>
      <c r="E56" s="21"/>
      <c r="F56" s="21"/>
      <c r="G56" s="21"/>
      <c r="H56" s="21"/>
      <c r="I56" s="21"/>
      <c r="J56" s="21"/>
      <c r="K56" s="21"/>
      <c r="L56" s="21"/>
      <c r="M56" s="21"/>
      <c r="N56" s="21"/>
      <c r="O56" s="21"/>
    </row>
    <row r="57" spans="1:15">
      <c r="A57" s="21"/>
      <c r="B57" s="21"/>
      <c r="C57" s="21"/>
      <c r="D57" s="21"/>
      <c r="E57" s="21"/>
      <c r="F57" s="21"/>
      <c r="G57" s="21"/>
      <c r="H57" s="21"/>
      <c r="I57" s="21"/>
      <c r="J57" s="21"/>
      <c r="K57" s="21"/>
      <c r="L57" s="21"/>
      <c r="M57" s="21"/>
      <c r="N57" s="21"/>
      <c r="O57" s="21"/>
    </row>
    <row r="58" spans="1:15">
      <c r="A58" s="21"/>
      <c r="B58" s="21"/>
      <c r="C58" s="21"/>
      <c r="D58" s="21"/>
      <c r="E58" s="21"/>
      <c r="F58" s="21"/>
      <c r="G58" s="21"/>
      <c r="H58" s="21"/>
      <c r="I58" s="21"/>
      <c r="J58" s="21"/>
      <c r="K58" s="21"/>
      <c r="L58" s="21"/>
      <c r="M58" s="21"/>
      <c r="N58" s="21"/>
      <c r="O58" s="21"/>
    </row>
    <row r="59" spans="1:15">
      <c r="A59" s="21"/>
      <c r="B59" s="21"/>
      <c r="C59" s="21"/>
      <c r="D59" s="21"/>
      <c r="E59" s="21"/>
      <c r="F59" s="21"/>
      <c r="G59" s="21"/>
      <c r="H59" s="21"/>
      <c r="I59" s="21"/>
      <c r="J59" s="21"/>
      <c r="K59" s="21"/>
      <c r="L59" s="21"/>
      <c r="M59" s="21"/>
      <c r="N59" s="21"/>
      <c r="O59" s="21"/>
    </row>
    <row r="60" spans="1:15">
      <c r="A60" s="21"/>
      <c r="B60" s="21"/>
      <c r="C60" s="21"/>
      <c r="D60" s="21"/>
      <c r="E60" s="21"/>
      <c r="F60" s="21"/>
      <c r="G60" s="21"/>
      <c r="H60" s="21"/>
      <c r="I60" s="21"/>
      <c r="J60" s="21"/>
      <c r="K60" s="21"/>
      <c r="L60" s="21"/>
      <c r="M60" s="21"/>
      <c r="N60" s="21"/>
      <c r="O60" s="21"/>
    </row>
    <row r="61" spans="1:15">
      <c r="A61" s="21"/>
      <c r="B61" s="21"/>
      <c r="C61" s="21"/>
      <c r="D61" s="21"/>
      <c r="E61" s="21"/>
      <c r="F61" s="21"/>
      <c r="G61" s="21"/>
      <c r="H61" s="21"/>
      <c r="I61" s="21"/>
      <c r="J61" s="21"/>
      <c r="K61" s="21"/>
      <c r="L61" s="21"/>
      <c r="M61" s="21"/>
      <c r="N61" s="21"/>
      <c r="O61" s="21"/>
    </row>
    <row r="62" spans="1:15">
      <c r="A62" s="21"/>
      <c r="B62" s="21"/>
      <c r="C62" s="21"/>
      <c r="D62" s="21"/>
      <c r="E62" s="21"/>
      <c r="F62" s="21"/>
      <c r="G62" s="21"/>
      <c r="H62" s="21"/>
      <c r="I62" s="21"/>
      <c r="J62" s="21"/>
      <c r="K62" s="21"/>
      <c r="L62" s="21"/>
      <c r="M62" s="21"/>
      <c r="N62" s="21"/>
      <c r="O62" s="21"/>
    </row>
    <row r="63" spans="1:15">
      <c r="A63" s="21"/>
      <c r="B63" s="21"/>
      <c r="C63" s="21"/>
      <c r="D63" s="21"/>
      <c r="E63" s="21"/>
      <c r="F63" s="21"/>
      <c r="G63" s="21"/>
      <c r="H63" s="21"/>
      <c r="I63" s="21"/>
      <c r="J63" s="21"/>
      <c r="K63" s="21"/>
      <c r="L63" s="21"/>
      <c r="M63" s="21"/>
      <c r="N63" s="21"/>
      <c r="O63" s="21"/>
    </row>
    <row r="64" spans="1:15">
      <c r="A64" s="21"/>
      <c r="B64" s="21"/>
      <c r="C64" s="21"/>
      <c r="D64" s="21"/>
      <c r="E64" s="21"/>
      <c r="F64" s="21"/>
      <c r="G64" s="21"/>
      <c r="H64" s="21"/>
      <c r="I64" s="21"/>
      <c r="J64" s="21"/>
      <c r="K64" s="21"/>
      <c r="L64" s="21"/>
      <c r="M64" s="21"/>
      <c r="N64" s="21"/>
      <c r="O64" s="21"/>
    </row>
    <row r="65" spans="1:15">
      <c r="A65" s="21"/>
      <c r="B65" s="21"/>
      <c r="C65" s="21"/>
      <c r="D65" s="21"/>
      <c r="E65" s="21"/>
      <c r="F65" s="21"/>
      <c r="G65" s="21"/>
      <c r="H65" s="21"/>
      <c r="I65" s="21"/>
      <c r="J65" s="21"/>
      <c r="K65" s="21"/>
      <c r="L65" s="21"/>
      <c r="M65" s="21"/>
      <c r="N65" s="21"/>
      <c r="O65" s="21"/>
    </row>
    <row r="66" spans="1:15">
      <c r="A66" s="21"/>
      <c r="B66" s="21"/>
      <c r="C66" s="21"/>
      <c r="D66" s="21"/>
      <c r="E66" s="21"/>
      <c r="F66" s="21"/>
      <c r="G66" s="21"/>
      <c r="H66" s="21"/>
      <c r="I66" s="21"/>
      <c r="J66" s="21"/>
      <c r="K66" s="21"/>
      <c r="L66" s="21"/>
      <c r="M66" s="21"/>
      <c r="N66" s="21"/>
      <c r="O66" s="21"/>
    </row>
    <row r="67" spans="1:15">
      <c r="A67" s="21"/>
      <c r="B67" s="21"/>
      <c r="C67" s="21"/>
      <c r="D67" s="21"/>
      <c r="E67" s="21"/>
      <c r="F67" s="21"/>
      <c r="G67" s="21"/>
      <c r="H67" s="21"/>
      <c r="I67" s="21"/>
      <c r="J67" s="21"/>
      <c r="K67" s="21"/>
      <c r="L67" s="21"/>
      <c r="M67" s="21"/>
      <c r="N67" s="21"/>
      <c r="O67" s="21"/>
    </row>
    <row r="68" spans="1:15">
      <c r="A68" s="21"/>
      <c r="B68" s="21"/>
      <c r="C68" s="21"/>
      <c r="D68" s="21"/>
      <c r="E68" s="21"/>
      <c r="F68" s="21"/>
      <c r="G68" s="21"/>
      <c r="H68" s="21"/>
      <c r="I68" s="21"/>
      <c r="J68" s="21"/>
      <c r="K68" s="21"/>
      <c r="L68" s="21"/>
      <c r="M68" s="21"/>
      <c r="N68" s="21"/>
      <c r="O68" s="21"/>
    </row>
  </sheetData>
  <sheetProtection formatColumns="0" formatRows="0" insertColumns="0" insertRows="0"/>
  <printOptions horizontalCentered="1"/>
  <pageMargins left="0.25" right="0.25" top="0.75" bottom="0.75" header="0.3" footer="0.3"/>
  <pageSetup orientation="portrait" r:id="rId1"/>
  <headerFooter scaleWithDoc="0">
    <oddHeader>&amp;C&amp;"-,Bold"&amp;20Lease Rate</oddHeader>
    <oddFooter>&amp;CPage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PasteImageWithBorder_ExtraPage">
                <anchor moveWithCells="1" sizeWithCells="1">
                  <from>
                    <xdr:col>16</xdr:col>
                    <xdr:colOff>0</xdr:colOff>
                    <xdr:row>1</xdr:row>
                    <xdr:rowOff>7620</xdr:rowOff>
                  </from>
                  <to>
                    <xdr:col>19</xdr:col>
                    <xdr:colOff>0</xdr:colOff>
                    <xdr:row>4</xdr:row>
                    <xdr:rowOff>7620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8E12B-4B8E-4DC9-8121-427460D93E67}">
  <sheetPr codeName="Sheet16">
    <tabColor theme="9" tint="-0.249977111117893"/>
  </sheetPr>
  <dimension ref="A1:K94"/>
  <sheetViews>
    <sheetView view="pageLayout" topLeftCell="A2" zoomScale="115" zoomScaleNormal="115" zoomScaleSheetLayoutView="130" zoomScalePageLayoutView="115" workbookViewId="0">
      <selection activeCell="J20" sqref="J20"/>
    </sheetView>
  </sheetViews>
  <sheetFormatPr defaultRowHeight="14.4"/>
  <cols>
    <col min="1" max="1" width="9.6640625" customWidth="1"/>
    <col min="11" max="11" width="9.6640625" customWidth="1"/>
  </cols>
  <sheetData>
    <row r="1" spans="1:11">
      <c r="A1" s="21"/>
      <c r="B1" s="21"/>
      <c r="C1" s="21"/>
      <c r="D1" s="21"/>
      <c r="E1" s="21"/>
      <c r="F1" s="21"/>
      <c r="G1" s="21"/>
      <c r="H1" s="21"/>
      <c r="I1" s="21"/>
      <c r="J1" s="21"/>
      <c r="K1" s="21"/>
    </row>
    <row r="2" spans="1:11">
      <c r="A2" s="21"/>
      <c r="B2" s="21"/>
      <c r="C2" s="21"/>
      <c r="D2" s="21"/>
      <c r="E2" s="21"/>
      <c r="F2" s="21"/>
      <c r="G2" s="21"/>
      <c r="H2" s="21"/>
      <c r="I2" s="21"/>
      <c r="J2" s="21"/>
      <c r="K2" s="21"/>
    </row>
    <row r="3" spans="1:11">
      <c r="A3" s="21"/>
      <c r="B3" s="21"/>
      <c r="C3" s="21"/>
      <c r="D3" s="21"/>
      <c r="E3" s="21"/>
      <c r="F3" s="21"/>
      <c r="G3" s="21"/>
      <c r="H3" s="21"/>
      <c r="I3" s="21"/>
      <c r="J3" s="21"/>
      <c r="K3" s="21"/>
    </row>
    <row r="4" spans="1:11">
      <c r="A4" s="21"/>
      <c r="B4" s="21"/>
      <c r="C4" s="21"/>
      <c r="D4" s="21"/>
      <c r="E4" s="21"/>
      <c r="F4" s="21"/>
      <c r="G4" s="21"/>
      <c r="H4" s="21"/>
      <c r="I4" s="21"/>
      <c r="J4" s="21"/>
      <c r="K4" s="21"/>
    </row>
    <row r="5" spans="1:11">
      <c r="A5" s="21"/>
      <c r="B5" s="21"/>
      <c r="C5" s="21"/>
      <c r="D5" s="21"/>
      <c r="E5" s="21"/>
      <c r="F5" s="21"/>
      <c r="G5" s="21"/>
      <c r="H5" s="21"/>
      <c r="I5" s="21"/>
      <c r="J5" s="21"/>
      <c r="K5" s="21"/>
    </row>
    <row r="6" spans="1:11">
      <c r="A6" s="21"/>
      <c r="B6" s="21"/>
      <c r="C6" s="21"/>
      <c r="D6" s="21"/>
      <c r="E6" s="21"/>
      <c r="F6" s="21"/>
      <c r="G6" s="21"/>
      <c r="H6" s="21"/>
      <c r="I6" s="21"/>
      <c r="J6" s="21"/>
      <c r="K6" s="21"/>
    </row>
    <row r="7" spans="1:11">
      <c r="A7" s="21"/>
      <c r="B7" s="21"/>
      <c r="C7" s="21"/>
      <c r="D7" s="21"/>
      <c r="E7" s="21"/>
      <c r="F7" s="21"/>
      <c r="G7" s="21"/>
      <c r="H7" s="21"/>
      <c r="I7" s="21"/>
      <c r="J7" s="21"/>
      <c r="K7" s="21"/>
    </row>
    <row r="8" spans="1:11">
      <c r="A8" s="21"/>
      <c r="B8" s="21"/>
      <c r="C8" s="21"/>
      <c r="D8" s="21"/>
      <c r="E8" s="21"/>
      <c r="F8" s="21"/>
      <c r="G8" s="21"/>
      <c r="H8" s="21"/>
      <c r="I8" s="21"/>
      <c r="J8" s="21"/>
      <c r="K8" s="21"/>
    </row>
    <row r="9" spans="1:11">
      <c r="A9" s="21"/>
      <c r="B9" s="21"/>
      <c r="C9" s="21"/>
      <c r="D9" s="21"/>
      <c r="E9" s="21"/>
      <c r="F9" s="21"/>
      <c r="G9" s="21"/>
      <c r="H9" s="21"/>
      <c r="I9" s="21"/>
      <c r="J9" s="21"/>
      <c r="K9" s="21"/>
    </row>
    <row r="10" spans="1:11">
      <c r="A10" s="21"/>
      <c r="B10" s="21"/>
      <c r="C10" s="21"/>
      <c r="D10" s="21"/>
      <c r="E10" s="21"/>
      <c r="F10" s="21"/>
      <c r="G10" s="21"/>
      <c r="H10" s="21"/>
      <c r="I10" s="21"/>
      <c r="J10" s="21"/>
      <c r="K10" s="21"/>
    </row>
    <row r="11" spans="1:11">
      <c r="A11" s="21"/>
      <c r="B11" s="21"/>
      <c r="C11" s="21"/>
      <c r="D11" s="21"/>
      <c r="E11" s="21"/>
      <c r="F11" s="21"/>
      <c r="G11" s="21"/>
      <c r="H11" s="21"/>
      <c r="I11" s="21"/>
      <c r="J11" s="21"/>
      <c r="K11" s="21"/>
    </row>
    <row r="12" spans="1:11">
      <c r="A12" s="21"/>
      <c r="B12" s="21"/>
      <c r="C12" s="21"/>
      <c r="D12" s="21"/>
      <c r="E12" s="21"/>
      <c r="F12" s="21"/>
      <c r="G12" s="21"/>
      <c r="H12" s="21"/>
      <c r="I12" s="21"/>
      <c r="J12" s="21"/>
      <c r="K12" s="21"/>
    </row>
    <row r="13" spans="1:11">
      <c r="A13" s="21"/>
      <c r="B13" s="21"/>
      <c r="C13" s="21"/>
      <c r="D13" s="21"/>
      <c r="E13" s="21"/>
      <c r="F13" s="21"/>
      <c r="G13" s="21"/>
      <c r="H13" s="21"/>
      <c r="I13" s="21"/>
      <c r="J13" s="21"/>
      <c r="K13" s="21"/>
    </row>
    <row r="14" spans="1:11">
      <c r="A14" s="21"/>
      <c r="B14" s="21"/>
      <c r="C14" s="21"/>
      <c r="D14" s="21"/>
      <c r="E14" s="21"/>
      <c r="F14" s="21"/>
      <c r="G14" s="21"/>
      <c r="H14" s="21"/>
      <c r="I14" s="21"/>
      <c r="J14" s="21"/>
      <c r="K14" s="21"/>
    </row>
    <row r="15" spans="1:11">
      <c r="A15" s="21"/>
      <c r="B15" s="21"/>
      <c r="C15" s="21"/>
      <c r="D15" s="21"/>
      <c r="E15" s="21"/>
      <c r="F15" s="21"/>
      <c r="G15" s="21"/>
      <c r="H15" s="21"/>
      <c r="I15" s="21"/>
      <c r="J15" s="21"/>
      <c r="K15" s="21"/>
    </row>
    <row r="16" spans="1:11">
      <c r="A16" s="21"/>
      <c r="B16" s="21"/>
      <c r="C16" s="21"/>
      <c r="D16" s="21"/>
      <c r="E16" s="21"/>
      <c r="F16" s="21"/>
      <c r="G16" s="21"/>
      <c r="H16" s="21"/>
      <c r="I16" s="21"/>
      <c r="J16" s="21"/>
      <c r="K16" s="21"/>
    </row>
    <row r="17" spans="1:11">
      <c r="A17" s="21"/>
      <c r="B17" s="21"/>
      <c r="C17" s="21"/>
      <c r="D17" s="21"/>
      <c r="E17" s="21"/>
      <c r="F17" s="21"/>
      <c r="G17" s="21"/>
      <c r="H17" s="21"/>
      <c r="I17" s="21"/>
      <c r="J17" s="21"/>
      <c r="K17" s="21"/>
    </row>
    <row r="18" spans="1:11">
      <c r="A18" s="21"/>
      <c r="B18" s="21"/>
      <c r="C18" s="21"/>
      <c r="D18" s="21"/>
      <c r="E18" s="21"/>
      <c r="F18" s="21"/>
      <c r="G18" s="21"/>
      <c r="H18" s="21"/>
      <c r="I18" s="21"/>
      <c r="J18" s="21"/>
      <c r="K18" s="21"/>
    </row>
    <row r="19" spans="1:11">
      <c r="A19" s="21"/>
      <c r="B19" s="21"/>
      <c r="C19" s="21"/>
      <c r="D19" s="21"/>
      <c r="E19" s="21"/>
      <c r="F19" s="21"/>
      <c r="G19" s="21"/>
      <c r="H19" s="21"/>
      <c r="I19" s="21"/>
      <c r="J19" s="21"/>
      <c r="K19" s="21"/>
    </row>
    <row r="20" spans="1:11">
      <c r="A20" s="21"/>
      <c r="B20" s="21"/>
      <c r="C20" s="21"/>
      <c r="D20" s="21"/>
      <c r="E20" s="21"/>
      <c r="F20" s="21"/>
      <c r="G20" s="21"/>
      <c r="H20" s="21"/>
      <c r="I20" s="21"/>
      <c r="J20" s="21"/>
      <c r="K20" s="21"/>
    </row>
    <row r="21" spans="1:11">
      <c r="A21" s="21"/>
      <c r="B21" s="21"/>
      <c r="C21" s="21"/>
      <c r="D21" s="21"/>
      <c r="E21" s="21"/>
      <c r="F21" s="21"/>
      <c r="G21" s="21"/>
      <c r="H21" s="21"/>
      <c r="I21" s="21"/>
      <c r="J21" s="21"/>
      <c r="K21" s="21"/>
    </row>
    <row r="22" spans="1:11">
      <c r="A22" s="21"/>
      <c r="B22" s="21"/>
      <c r="C22" s="21"/>
      <c r="D22" s="21"/>
      <c r="E22" s="21"/>
      <c r="F22" s="21"/>
      <c r="G22" s="21"/>
      <c r="H22" s="21"/>
      <c r="I22" s="21"/>
      <c r="J22" s="21"/>
      <c r="K22" s="21"/>
    </row>
    <row r="23" spans="1:11">
      <c r="A23" s="21"/>
      <c r="B23" s="21"/>
      <c r="C23" s="21"/>
      <c r="D23" s="21"/>
      <c r="E23" s="21"/>
      <c r="F23" s="21"/>
      <c r="G23" s="21"/>
      <c r="H23" s="21"/>
      <c r="I23" s="21"/>
      <c r="J23" s="21"/>
      <c r="K23" s="21"/>
    </row>
    <row r="24" spans="1:11">
      <c r="A24" s="21"/>
      <c r="B24" s="21"/>
      <c r="C24" s="21"/>
      <c r="D24" s="21"/>
      <c r="E24" s="21"/>
      <c r="F24" s="21"/>
      <c r="G24" s="21"/>
      <c r="H24" s="21"/>
      <c r="I24" s="21"/>
      <c r="J24" s="21"/>
      <c r="K24" s="21"/>
    </row>
    <row r="25" spans="1:11">
      <c r="A25" s="21"/>
      <c r="B25" s="21"/>
      <c r="C25" s="21"/>
      <c r="D25" s="21"/>
      <c r="E25" s="21"/>
      <c r="F25" s="21"/>
      <c r="G25" s="21"/>
      <c r="H25" s="21"/>
      <c r="I25" s="21"/>
      <c r="J25" s="21"/>
      <c r="K25" s="21"/>
    </row>
    <row r="26" spans="1:11">
      <c r="A26" s="21"/>
      <c r="B26" s="21"/>
      <c r="C26" s="21"/>
      <c r="D26" s="21"/>
      <c r="E26" s="21"/>
      <c r="F26" s="21"/>
      <c r="G26" s="21"/>
      <c r="H26" s="21"/>
      <c r="I26" s="21"/>
      <c r="J26" s="21"/>
      <c r="K26" s="21"/>
    </row>
    <row r="27" spans="1:11">
      <c r="A27" s="21"/>
      <c r="B27" s="21"/>
      <c r="C27" s="21"/>
      <c r="D27" s="21"/>
      <c r="E27" s="21"/>
      <c r="F27" s="21"/>
      <c r="G27" s="21"/>
      <c r="H27" s="21"/>
      <c r="I27" s="21"/>
      <c r="J27" s="21"/>
      <c r="K27" s="21"/>
    </row>
    <row r="28" spans="1:11">
      <c r="A28" s="21"/>
      <c r="B28" s="21"/>
      <c r="C28" s="21"/>
      <c r="D28" s="21"/>
      <c r="E28" s="21"/>
      <c r="F28" s="21"/>
      <c r="G28" s="21"/>
      <c r="H28" s="21"/>
      <c r="I28" s="21"/>
      <c r="J28" s="21"/>
      <c r="K28" s="21"/>
    </row>
    <row r="29" spans="1:11">
      <c r="A29" s="21"/>
      <c r="B29" s="21"/>
      <c r="C29" s="21"/>
      <c r="D29" s="21"/>
      <c r="E29" s="21"/>
      <c r="F29" s="21"/>
      <c r="G29" s="21"/>
      <c r="H29" s="21"/>
      <c r="I29" s="21"/>
      <c r="J29" s="21"/>
      <c r="K29" s="21"/>
    </row>
    <row r="30" spans="1:11">
      <c r="A30" s="21"/>
      <c r="B30" s="21"/>
      <c r="C30" s="21"/>
      <c r="D30" s="21"/>
      <c r="E30" s="21"/>
      <c r="F30" s="21"/>
      <c r="G30" s="21"/>
      <c r="H30" s="21"/>
      <c r="I30" s="21"/>
      <c r="J30" s="21"/>
      <c r="K30" s="21"/>
    </row>
    <row r="31" spans="1:11">
      <c r="A31" s="21"/>
      <c r="B31" s="21"/>
      <c r="C31" s="21"/>
      <c r="D31" s="21"/>
      <c r="E31" s="21"/>
      <c r="F31" s="21"/>
      <c r="G31" s="21"/>
      <c r="H31" s="21"/>
      <c r="I31" s="21"/>
      <c r="J31" s="21"/>
      <c r="K31" s="21"/>
    </row>
    <row r="32" spans="1:11">
      <c r="A32" s="21"/>
      <c r="B32" s="21"/>
      <c r="C32" s="21"/>
      <c r="D32" s="21"/>
      <c r="E32" s="21"/>
      <c r="F32" s="21"/>
      <c r="G32" s="21"/>
      <c r="H32" s="21"/>
      <c r="I32" s="21"/>
      <c r="J32" s="21"/>
      <c r="K32" s="21"/>
    </row>
    <row r="33" spans="1:11">
      <c r="A33" s="21"/>
      <c r="B33" s="21"/>
      <c r="C33" s="21"/>
      <c r="D33" s="21"/>
      <c r="E33" s="21"/>
      <c r="F33" s="21"/>
      <c r="G33" s="21"/>
      <c r="H33" s="21"/>
      <c r="I33" s="21"/>
      <c r="J33" s="21"/>
      <c r="K33" s="21"/>
    </row>
    <row r="34" spans="1:11">
      <c r="A34" s="21"/>
      <c r="B34" s="21"/>
      <c r="C34" s="21"/>
      <c r="D34" s="21"/>
      <c r="E34" s="21"/>
      <c r="F34" s="21"/>
      <c r="G34" s="21"/>
      <c r="H34" s="21"/>
      <c r="I34" s="21"/>
      <c r="J34" s="21"/>
      <c r="K34" s="21"/>
    </row>
    <row r="35" spans="1:11">
      <c r="A35" s="21"/>
      <c r="B35" s="21"/>
      <c r="C35" s="21"/>
      <c r="D35" s="21"/>
      <c r="E35" s="21"/>
      <c r="F35" s="21"/>
      <c r="G35" s="21"/>
      <c r="H35" s="21"/>
      <c r="I35" s="21"/>
      <c r="J35" s="21"/>
      <c r="K35" s="21"/>
    </row>
    <row r="36" spans="1:11">
      <c r="A36" s="21"/>
      <c r="B36" s="21"/>
      <c r="C36" s="21"/>
      <c r="D36" s="21"/>
      <c r="E36" s="21"/>
      <c r="F36" s="21"/>
      <c r="G36" s="21"/>
      <c r="H36" s="21"/>
      <c r="I36" s="21"/>
      <c r="J36" s="21"/>
      <c r="K36" s="21"/>
    </row>
    <row r="37" spans="1:11">
      <c r="A37" s="21"/>
      <c r="B37" s="21"/>
      <c r="C37" s="21"/>
      <c r="D37" s="21"/>
      <c r="E37" s="21"/>
      <c r="F37" s="21"/>
      <c r="G37" s="21"/>
      <c r="H37" s="21"/>
      <c r="I37" s="21"/>
      <c r="J37" s="21"/>
      <c r="K37" s="21"/>
    </row>
    <row r="38" spans="1:11">
      <c r="A38" s="21"/>
      <c r="B38" s="21"/>
      <c r="C38" s="21"/>
      <c r="D38" s="21"/>
      <c r="E38" s="21"/>
      <c r="F38" s="21"/>
      <c r="G38" s="21"/>
      <c r="H38" s="21"/>
      <c r="I38" s="21"/>
      <c r="J38" s="21"/>
      <c r="K38" s="21"/>
    </row>
    <row r="39" spans="1:11">
      <c r="A39" s="21"/>
      <c r="B39" s="21"/>
      <c r="C39" s="21"/>
      <c r="D39" s="21"/>
      <c r="E39" s="21"/>
      <c r="F39" s="21"/>
      <c r="G39" s="21"/>
      <c r="H39" s="21"/>
      <c r="I39" s="21"/>
      <c r="J39" s="21"/>
      <c r="K39" s="21"/>
    </row>
    <row r="40" spans="1:11">
      <c r="A40" s="21"/>
      <c r="B40" s="21"/>
      <c r="C40" s="21"/>
      <c r="D40" s="21"/>
      <c r="E40" s="21"/>
      <c r="F40" s="21"/>
      <c r="G40" s="21"/>
      <c r="H40" s="21"/>
      <c r="I40" s="21"/>
      <c r="J40" s="21"/>
      <c r="K40" s="21"/>
    </row>
    <row r="41" spans="1:11">
      <c r="A41" s="21"/>
      <c r="B41" s="21"/>
      <c r="C41" s="21"/>
      <c r="D41" s="21"/>
      <c r="E41" s="21"/>
      <c r="F41" s="21"/>
      <c r="G41" s="21"/>
      <c r="H41" s="21"/>
      <c r="I41" s="21"/>
      <c r="J41" s="21"/>
      <c r="K41" s="21"/>
    </row>
    <row r="42" spans="1:11">
      <c r="A42" s="21"/>
      <c r="B42" s="21"/>
      <c r="C42" s="21"/>
      <c r="D42" s="21"/>
      <c r="E42" s="21"/>
      <c r="F42" s="21"/>
      <c r="G42" s="21"/>
      <c r="H42" s="21"/>
      <c r="I42" s="21"/>
      <c r="J42" s="21"/>
      <c r="K42" s="21"/>
    </row>
    <row r="43" spans="1:11">
      <c r="A43" s="21"/>
      <c r="B43" s="21"/>
      <c r="C43" s="21"/>
      <c r="D43" s="21"/>
      <c r="E43" s="21"/>
      <c r="F43" s="21"/>
      <c r="G43" s="21"/>
      <c r="H43" s="21"/>
      <c r="I43" s="21"/>
      <c r="J43" s="21"/>
      <c r="K43" s="21"/>
    </row>
    <row r="44" spans="1:11">
      <c r="A44" s="21"/>
      <c r="B44" s="21"/>
      <c r="C44" s="21"/>
      <c r="D44" s="21"/>
      <c r="E44" s="21"/>
      <c r="F44" s="21"/>
      <c r="G44" s="21"/>
      <c r="H44" s="21"/>
      <c r="I44" s="21"/>
      <c r="J44" s="21"/>
      <c r="K44" s="21"/>
    </row>
    <row r="45" spans="1:11">
      <c r="A45" s="21"/>
      <c r="B45" s="21"/>
      <c r="C45" s="21"/>
      <c r="D45" s="21"/>
      <c r="E45" s="21"/>
      <c r="F45" s="21"/>
      <c r="G45" s="21"/>
      <c r="H45" s="21"/>
      <c r="I45" s="21"/>
      <c r="J45" s="21"/>
      <c r="K45" s="21"/>
    </row>
    <row r="46" spans="1:11">
      <c r="A46" s="21"/>
      <c r="B46" s="21"/>
      <c r="C46" s="21"/>
      <c r="D46" s="21"/>
      <c r="E46" s="21"/>
      <c r="F46" s="21"/>
      <c r="G46" s="21"/>
      <c r="H46" s="21"/>
      <c r="I46" s="21"/>
      <c r="J46" s="21"/>
      <c r="K46" s="21"/>
    </row>
    <row r="47" spans="1:11">
      <c r="A47" s="21"/>
      <c r="B47" s="21"/>
      <c r="C47" s="21"/>
      <c r="D47" s="21"/>
      <c r="E47" s="21"/>
      <c r="F47" s="21"/>
      <c r="G47" s="21"/>
      <c r="H47" s="21"/>
      <c r="I47" s="21"/>
      <c r="J47" s="21"/>
      <c r="K47" s="21"/>
    </row>
    <row r="48" spans="1:11">
      <c r="A48" s="21"/>
      <c r="B48" s="21"/>
      <c r="C48" s="21"/>
      <c r="D48" s="21"/>
      <c r="E48" s="21"/>
      <c r="F48" s="21"/>
      <c r="G48" s="21"/>
      <c r="H48" s="21"/>
      <c r="I48" s="21"/>
      <c r="J48" s="21"/>
      <c r="K48" s="21"/>
    </row>
    <row r="49" spans="1:11">
      <c r="A49" s="21"/>
      <c r="B49" s="21"/>
      <c r="C49" s="21"/>
      <c r="D49" s="21"/>
      <c r="E49" s="21"/>
      <c r="F49" s="21"/>
      <c r="G49" s="21"/>
      <c r="H49" s="21"/>
      <c r="I49" s="21"/>
      <c r="J49" s="21"/>
      <c r="K49" s="21"/>
    </row>
    <row r="50" spans="1:11">
      <c r="A50" s="21"/>
      <c r="B50" s="21"/>
      <c r="C50" s="21"/>
      <c r="D50" s="21"/>
      <c r="E50" s="21"/>
      <c r="F50" s="21"/>
      <c r="G50" s="21"/>
      <c r="H50" s="21"/>
      <c r="I50" s="21"/>
      <c r="J50" s="21"/>
      <c r="K50" s="21"/>
    </row>
    <row r="51" spans="1:11">
      <c r="A51" s="21"/>
      <c r="B51" s="21"/>
      <c r="C51" s="21"/>
      <c r="D51" s="21"/>
      <c r="E51" s="21"/>
      <c r="F51" s="21"/>
      <c r="G51" s="21"/>
      <c r="H51" s="21"/>
      <c r="I51" s="21"/>
      <c r="J51" s="21"/>
      <c r="K51" s="21"/>
    </row>
    <row r="52" spans="1:11">
      <c r="A52" s="21"/>
      <c r="B52" s="21"/>
      <c r="C52" s="21"/>
      <c r="D52" s="21"/>
      <c r="E52" s="21"/>
      <c r="F52" s="21"/>
      <c r="G52" s="21"/>
      <c r="H52" s="21"/>
      <c r="I52" s="21"/>
      <c r="J52" s="21"/>
      <c r="K52" s="21"/>
    </row>
    <row r="53" spans="1:11">
      <c r="A53" s="21"/>
      <c r="B53" s="21"/>
      <c r="C53" s="21"/>
      <c r="D53" s="21"/>
      <c r="E53" s="21"/>
      <c r="F53" s="21"/>
      <c r="G53" s="21"/>
      <c r="H53" s="21"/>
      <c r="I53" s="21"/>
      <c r="J53" s="21"/>
      <c r="K53" s="21"/>
    </row>
    <row r="54" spans="1:11">
      <c r="A54" s="21"/>
      <c r="B54" s="21"/>
      <c r="C54" s="21"/>
      <c r="D54" s="21"/>
      <c r="E54" s="21"/>
      <c r="F54" s="21"/>
      <c r="G54" s="21"/>
      <c r="H54" s="21"/>
      <c r="I54" s="21"/>
      <c r="J54" s="21"/>
      <c r="K54" s="21"/>
    </row>
    <row r="55" spans="1:11">
      <c r="A55" s="21"/>
      <c r="B55" s="21"/>
      <c r="C55" s="21"/>
      <c r="D55" s="21"/>
      <c r="E55" s="21"/>
      <c r="F55" s="21"/>
      <c r="G55" s="21"/>
      <c r="H55" s="21"/>
      <c r="I55" s="21"/>
      <c r="J55" s="21"/>
      <c r="K55" s="21"/>
    </row>
    <row r="56" spans="1:11">
      <c r="A56" s="21"/>
      <c r="B56" s="21"/>
      <c r="C56" s="21"/>
      <c r="D56" s="21"/>
      <c r="E56" s="21"/>
      <c r="F56" s="21"/>
      <c r="G56" s="21"/>
      <c r="H56" s="21"/>
      <c r="I56" s="21"/>
      <c r="J56" s="21"/>
      <c r="K56" s="21"/>
    </row>
    <row r="57" spans="1:11">
      <c r="A57" s="21"/>
      <c r="B57" s="21"/>
      <c r="C57" s="21"/>
      <c r="D57" s="21"/>
      <c r="E57" s="21"/>
      <c r="F57" s="21"/>
      <c r="G57" s="21"/>
      <c r="H57" s="21"/>
      <c r="I57" s="21"/>
      <c r="J57" s="21"/>
      <c r="K57" s="21"/>
    </row>
    <row r="58" spans="1:11">
      <c r="A58" s="21"/>
      <c r="B58" s="21"/>
      <c r="C58" s="21"/>
      <c r="D58" s="21"/>
      <c r="E58" s="21"/>
      <c r="F58" s="21"/>
      <c r="G58" s="21"/>
      <c r="H58" s="21"/>
      <c r="I58" s="21"/>
      <c r="J58" s="21"/>
      <c r="K58" s="21"/>
    </row>
    <row r="59" spans="1:11">
      <c r="A59" s="21"/>
      <c r="B59" s="21"/>
      <c r="C59" s="21"/>
      <c r="D59" s="21"/>
      <c r="E59" s="21"/>
      <c r="F59" s="21"/>
      <c r="G59" s="21"/>
      <c r="H59" s="21"/>
      <c r="I59" s="21"/>
      <c r="J59" s="21"/>
      <c r="K59" s="21"/>
    </row>
    <row r="60" spans="1:11">
      <c r="A60" s="21"/>
      <c r="B60" s="21"/>
      <c r="C60" s="21"/>
      <c r="D60" s="21"/>
      <c r="E60" s="21"/>
      <c r="F60" s="21"/>
      <c r="G60" s="21"/>
      <c r="H60" s="21"/>
      <c r="I60" s="21"/>
      <c r="J60" s="21"/>
      <c r="K60" s="21"/>
    </row>
    <row r="61" spans="1:11">
      <c r="A61" s="21"/>
      <c r="B61" s="21"/>
      <c r="C61" s="21"/>
      <c r="D61" s="21"/>
      <c r="E61" s="21"/>
      <c r="F61" s="21"/>
      <c r="G61" s="21"/>
      <c r="H61" s="21"/>
      <c r="I61" s="21"/>
      <c r="J61" s="21"/>
      <c r="K61" s="21"/>
    </row>
    <row r="62" spans="1:11">
      <c r="A62" s="21"/>
      <c r="B62" s="21"/>
      <c r="C62" s="21"/>
      <c r="D62" s="21"/>
      <c r="E62" s="21"/>
      <c r="F62" s="21"/>
      <c r="G62" s="21"/>
      <c r="H62" s="21"/>
      <c r="I62" s="21"/>
      <c r="J62" s="21"/>
      <c r="K62" s="21"/>
    </row>
    <row r="63" spans="1:11">
      <c r="A63" s="21"/>
      <c r="B63" s="21"/>
      <c r="C63" s="21"/>
      <c r="D63" s="21"/>
      <c r="E63" s="21"/>
      <c r="F63" s="21"/>
      <c r="G63" s="21"/>
      <c r="H63" s="21"/>
      <c r="I63" s="21"/>
      <c r="J63" s="21"/>
      <c r="K63" s="21"/>
    </row>
    <row r="64" spans="1:11">
      <c r="A64" s="21"/>
      <c r="B64" s="21"/>
      <c r="C64" s="21"/>
      <c r="D64" s="21"/>
      <c r="E64" s="21"/>
      <c r="F64" s="21"/>
      <c r="G64" s="21"/>
      <c r="H64" s="21"/>
      <c r="I64" s="21"/>
      <c r="J64" s="21"/>
      <c r="K64" s="21"/>
    </row>
    <row r="65" spans="1:11">
      <c r="A65" s="21"/>
      <c r="B65" s="21"/>
      <c r="C65" s="21"/>
      <c r="D65" s="21"/>
      <c r="E65" s="21"/>
      <c r="F65" s="21"/>
      <c r="G65" s="21"/>
      <c r="H65" s="21"/>
      <c r="I65" s="21"/>
      <c r="J65" s="21"/>
      <c r="K65" s="21"/>
    </row>
    <row r="66" spans="1:11">
      <c r="A66" s="21"/>
      <c r="B66" s="21"/>
      <c r="C66" s="21"/>
      <c r="D66" s="21"/>
      <c r="E66" s="21"/>
      <c r="F66" s="21"/>
      <c r="G66" s="21"/>
      <c r="H66" s="21"/>
      <c r="I66" s="21"/>
      <c r="J66" s="21"/>
      <c r="K66" s="21"/>
    </row>
    <row r="67" spans="1:11">
      <c r="A67" s="21"/>
      <c r="B67" s="21"/>
      <c r="C67" s="21"/>
      <c r="D67" s="21"/>
      <c r="E67" s="21"/>
      <c r="F67" s="21"/>
      <c r="G67" s="21"/>
      <c r="H67" s="21"/>
      <c r="I67" s="21"/>
      <c r="J67" s="21"/>
      <c r="K67" s="21"/>
    </row>
    <row r="68" spans="1:11">
      <c r="A68" s="21"/>
      <c r="B68" s="21"/>
      <c r="C68" s="21"/>
      <c r="D68" s="21"/>
      <c r="E68" s="21"/>
      <c r="F68" s="21"/>
      <c r="G68" s="21"/>
      <c r="H68" s="21"/>
      <c r="I68" s="21"/>
      <c r="J68" s="21"/>
      <c r="K68" s="21"/>
    </row>
    <row r="69" spans="1:11">
      <c r="A69" s="21"/>
      <c r="B69" s="21"/>
      <c r="C69" s="21"/>
      <c r="D69" s="21"/>
      <c r="E69" s="21"/>
      <c r="F69" s="21"/>
      <c r="G69" s="21"/>
      <c r="H69" s="21"/>
      <c r="I69" s="21"/>
      <c r="J69" s="21"/>
      <c r="K69" s="21"/>
    </row>
    <row r="70" spans="1:11">
      <c r="A70" s="21"/>
      <c r="B70" s="21"/>
      <c r="C70" s="21"/>
      <c r="D70" s="21"/>
      <c r="E70" s="21"/>
      <c r="F70" s="21"/>
      <c r="G70" s="21"/>
      <c r="H70" s="21"/>
      <c r="I70" s="21"/>
      <c r="J70" s="21"/>
      <c r="K70" s="21"/>
    </row>
    <row r="71" spans="1:11">
      <c r="A71" s="21"/>
      <c r="B71" s="21"/>
      <c r="C71" s="21"/>
      <c r="D71" s="21"/>
      <c r="E71" s="21"/>
      <c r="F71" s="21"/>
      <c r="G71" s="21"/>
      <c r="H71" s="21"/>
      <c r="I71" s="21"/>
      <c r="J71" s="21"/>
      <c r="K71" s="21"/>
    </row>
    <row r="72" spans="1:11">
      <c r="A72" s="21"/>
      <c r="B72" s="21"/>
      <c r="C72" s="21"/>
      <c r="D72" s="21"/>
      <c r="E72" s="21"/>
      <c r="F72" s="21"/>
      <c r="G72" s="21"/>
      <c r="H72" s="21"/>
      <c r="I72" s="21"/>
      <c r="J72" s="21"/>
      <c r="K72" s="21"/>
    </row>
    <row r="73" spans="1:11">
      <c r="A73" s="21"/>
      <c r="B73" s="21"/>
      <c r="C73" s="21"/>
      <c r="D73" s="21"/>
      <c r="E73" s="21"/>
      <c r="F73" s="21"/>
      <c r="G73" s="21"/>
      <c r="H73" s="21"/>
      <c r="I73" s="21"/>
      <c r="J73" s="21"/>
      <c r="K73" s="21"/>
    </row>
    <row r="74" spans="1:11">
      <c r="A74" s="21"/>
      <c r="B74" s="21"/>
      <c r="C74" s="21"/>
      <c r="D74" s="21"/>
      <c r="E74" s="21"/>
      <c r="F74" s="21"/>
      <c r="G74" s="21"/>
      <c r="H74" s="21"/>
      <c r="I74" s="21"/>
      <c r="J74" s="21"/>
      <c r="K74" s="21"/>
    </row>
    <row r="75" spans="1:11">
      <c r="A75" s="21"/>
      <c r="B75" s="21"/>
      <c r="C75" s="21"/>
      <c r="D75" s="21"/>
      <c r="E75" s="21"/>
      <c r="F75" s="21"/>
      <c r="G75" s="21"/>
      <c r="H75" s="21"/>
      <c r="I75" s="21"/>
      <c r="J75" s="21"/>
      <c r="K75" s="21"/>
    </row>
    <row r="76" spans="1:11">
      <c r="A76" s="21"/>
      <c r="B76" s="21"/>
      <c r="C76" s="21"/>
      <c r="D76" s="21"/>
      <c r="E76" s="21"/>
      <c r="F76" s="21"/>
      <c r="G76" s="21"/>
      <c r="H76" s="21"/>
      <c r="I76" s="21"/>
      <c r="J76" s="21"/>
      <c r="K76" s="21"/>
    </row>
    <row r="77" spans="1:11">
      <c r="A77" s="21"/>
      <c r="B77" s="21"/>
      <c r="C77" s="21"/>
      <c r="D77" s="21"/>
      <c r="E77" s="21"/>
      <c r="F77" s="21"/>
      <c r="G77" s="21"/>
      <c r="H77" s="21"/>
      <c r="I77" s="21"/>
      <c r="J77" s="21"/>
      <c r="K77" s="21"/>
    </row>
    <row r="78" spans="1:11">
      <c r="A78" s="21"/>
      <c r="B78" s="21"/>
      <c r="C78" s="21"/>
      <c r="D78" s="21"/>
      <c r="E78" s="21"/>
      <c r="F78" s="21"/>
      <c r="G78" s="21"/>
      <c r="H78" s="21"/>
      <c r="I78" s="21"/>
      <c r="J78" s="21"/>
      <c r="K78" s="21"/>
    </row>
    <row r="79" spans="1:11">
      <c r="A79" s="21"/>
      <c r="B79" s="21"/>
      <c r="C79" s="21"/>
      <c r="D79" s="21"/>
      <c r="E79" s="21"/>
      <c r="F79" s="21"/>
      <c r="G79" s="21"/>
      <c r="H79" s="21"/>
      <c r="I79" s="21"/>
      <c r="J79" s="21"/>
      <c r="K79" s="21"/>
    </row>
    <row r="80" spans="1:11">
      <c r="A80" s="21"/>
      <c r="B80" s="21"/>
      <c r="C80" s="21"/>
      <c r="D80" s="21"/>
      <c r="E80" s="21"/>
      <c r="F80" s="21"/>
      <c r="G80" s="21"/>
      <c r="H80" s="21"/>
      <c r="I80" s="21"/>
      <c r="J80" s="21"/>
      <c r="K80" s="21"/>
    </row>
    <row r="81" spans="1:11">
      <c r="A81" s="21"/>
      <c r="B81" s="21"/>
      <c r="C81" s="21"/>
      <c r="D81" s="21"/>
      <c r="E81" s="21"/>
      <c r="F81" s="21"/>
      <c r="G81" s="21"/>
      <c r="H81" s="21"/>
      <c r="I81" s="21"/>
      <c r="J81" s="21"/>
      <c r="K81" s="21"/>
    </row>
    <row r="82" spans="1:11">
      <c r="A82" s="21"/>
      <c r="B82" s="21"/>
      <c r="C82" s="21"/>
      <c r="D82" s="21"/>
      <c r="E82" s="21"/>
      <c r="F82" s="21"/>
      <c r="G82" s="21"/>
      <c r="H82" s="21"/>
      <c r="I82" s="21"/>
      <c r="J82" s="21"/>
      <c r="K82" s="21"/>
    </row>
    <row r="83" spans="1:11">
      <c r="A83" s="21"/>
      <c r="B83" s="21"/>
      <c r="C83" s="21"/>
      <c r="D83" s="21"/>
      <c r="E83" s="21"/>
      <c r="F83" s="21"/>
      <c r="G83" s="21"/>
      <c r="H83" s="21"/>
      <c r="I83" s="21"/>
      <c r="J83" s="21"/>
      <c r="K83" s="21"/>
    </row>
    <row r="84" spans="1:11">
      <c r="A84" s="21"/>
      <c r="B84" s="21"/>
      <c r="C84" s="21"/>
      <c r="D84" s="21"/>
      <c r="E84" s="21"/>
      <c r="F84" s="21"/>
      <c r="G84" s="21"/>
      <c r="H84" s="21"/>
      <c r="I84" s="21"/>
      <c r="J84" s="21"/>
      <c r="K84" s="21"/>
    </row>
    <row r="85" spans="1:11">
      <c r="A85" s="21"/>
      <c r="B85" s="21"/>
      <c r="C85" s="21"/>
      <c r="D85" s="21"/>
      <c r="E85" s="21"/>
      <c r="F85" s="21"/>
      <c r="G85" s="21"/>
      <c r="H85" s="21"/>
      <c r="I85" s="21"/>
      <c r="J85" s="21"/>
      <c r="K85" s="21"/>
    </row>
    <row r="86" spans="1:11">
      <c r="A86" s="21"/>
      <c r="B86" s="21"/>
      <c r="C86" s="21"/>
      <c r="D86" s="21"/>
      <c r="E86" s="21"/>
      <c r="F86" s="21"/>
      <c r="G86" s="21"/>
      <c r="H86" s="21"/>
      <c r="I86" s="21"/>
      <c r="J86" s="21"/>
      <c r="K86" s="21"/>
    </row>
    <row r="87" spans="1:11">
      <c r="A87" s="21"/>
      <c r="B87" s="21"/>
      <c r="C87" s="21"/>
      <c r="D87" s="21"/>
      <c r="E87" s="21"/>
      <c r="F87" s="21"/>
      <c r="G87" s="21"/>
      <c r="H87" s="21"/>
      <c r="I87" s="21"/>
      <c r="J87" s="21"/>
      <c r="K87" s="21"/>
    </row>
    <row r="88" spans="1:11">
      <c r="A88" s="21"/>
      <c r="B88" s="21"/>
      <c r="C88" s="21"/>
      <c r="D88" s="21"/>
      <c r="E88" s="21"/>
      <c r="F88" s="21"/>
      <c r="G88" s="21"/>
      <c r="H88" s="21"/>
      <c r="I88" s="21"/>
      <c r="J88" s="21"/>
      <c r="K88" s="21"/>
    </row>
    <row r="89" spans="1:11">
      <c r="A89" s="21"/>
      <c r="B89" s="21"/>
      <c r="C89" s="21"/>
      <c r="D89" s="21"/>
      <c r="E89" s="21"/>
      <c r="F89" s="21"/>
      <c r="G89" s="21"/>
      <c r="H89" s="21"/>
      <c r="I89" s="21"/>
      <c r="J89" s="21"/>
      <c r="K89" s="21"/>
    </row>
    <row r="90" spans="1:11">
      <c r="A90" s="21"/>
      <c r="B90" s="21"/>
      <c r="C90" s="21"/>
      <c r="D90" s="21"/>
      <c r="E90" s="21"/>
      <c r="F90" s="21"/>
      <c r="G90" s="21"/>
      <c r="H90" s="21"/>
      <c r="I90" s="21"/>
      <c r="J90" s="21"/>
      <c r="K90" s="21"/>
    </row>
    <row r="91" spans="1:11">
      <c r="A91" s="21"/>
      <c r="B91" s="21"/>
      <c r="C91" s="21"/>
      <c r="D91" s="21"/>
      <c r="E91" s="21"/>
      <c r="F91" s="21"/>
      <c r="G91" s="21"/>
      <c r="H91" s="21"/>
      <c r="I91" s="21"/>
      <c r="J91" s="21"/>
      <c r="K91" s="21"/>
    </row>
    <row r="92" spans="1:11">
      <c r="A92" s="21"/>
      <c r="B92" s="21"/>
      <c r="C92" s="21"/>
      <c r="D92" s="21"/>
      <c r="E92" s="21"/>
      <c r="F92" s="21"/>
      <c r="G92" s="21"/>
      <c r="H92" s="21"/>
      <c r="I92" s="21"/>
      <c r="J92" s="21"/>
      <c r="K92" s="21"/>
    </row>
    <row r="93" spans="1:11">
      <c r="A93" s="21"/>
      <c r="B93" s="21"/>
      <c r="C93" s="21"/>
      <c r="D93" s="21"/>
      <c r="E93" s="21"/>
      <c r="F93" s="21"/>
      <c r="G93" s="21"/>
      <c r="H93" s="21"/>
      <c r="I93" s="21"/>
      <c r="J93" s="21"/>
      <c r="K93" s="21"/>
    </row>
    <row r="94" spans="1:11">
      <c r="A94" s="21"/>
      <c r="B94" s="21"/>
      <c r="C94" s="21"/>
      <c r="D94" s="21"/>
      <c r="E94" s="21"/>
      <c r="F94" s="21"/>
      <c r="G94" s="21"/>
      <c r="H94" s="21"/>
      <c r="I94" s="21"/>
      <c r="J94" s="21"/>
      <c r="K94" s="21"/>
    </row>
  </sheetData>
  <sheetProtection formatColumns="0" formatRows="0" insertColumns="0" insertRows="0"/>
  <printOptions horizontalCentered="1"/>
  <pageMargins left="0.25" right="0.25" top="0.75" bottom="0.75" header="0.3" footer="0.3"/>
  <pageSetup orientation="portrait" r:id="rId1"/>
  <headerFooter scaleWithDoc="0">
    <oddHeader>&amp;C&amp;"-,Bold"&amp;20Lease Rate</oddHead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PasteImageWithBorder_ExtraPage">
                <anchor moveWithCells="1" sizeWithCells="1">
                  <from>
                    <xdr:col>12</xdr:col>
                    <xdr:colOff>312420</xdr:colOff>
                    <xdr:row>3</xdr:row>
                    <xdr:rowOff>0</xdr:rowOff>
                  </from>
                  <to>
                    <xdr:col>15</xdr:col>
                    <xdr:colOff>304800</xdr:colOff>
                    <xdr:row>6</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282391-566C-4C6F-8CEE-F168D0CB82C7}">
  <sheetPr codeName="Sheet12">
    <tabColor theme="9" tint="-0.249977111117893"/>
  </sheetPr>
  <dimension ref="A1:K94"/>
  <sheetViews>
    <sheetView view="pageLayout" zoomScale="115" zoomScaleNormal="115" zoomScaleSheetLayoutView="130" zoomScalePageLayoutView="115" workbookViewId="0">
      <selection activeCell="A5" sqref="A5:I7"/>
    </sheetView>
  </sheetViews>
  <sheetFormatPr defaultRowHeight="14.4"/>
  <cols>
    <col min="1" max="1" width="9.6640625" customWidth="1"/>
    <col min="11" max="11" width="9.6640625" customWidth="1"/>
  </cols>
  <sheetData>
    <row r="1" spans="1:11">
      <c r="A1" s="21"/>
      <c r="B1" s="21"/>
      <c r="C1" s="21"/>
      <c r="D1" s="21"/>
      <c r="E1" s="21"/>
      <c r="F1" s="21"/>
      <c r="G1" s="21"/>
      <c r="H1" s="21"/>
      <c r="I1" s="21"/>
      <c r="J1" s="21"/>
      <c r="K1" s="21"/>
    </row>
    <row r="2" spans="1:11">
      <c r="A2" s="21"/>
      <c r="B2" s="21"/>
      <c r="C2" s="21"/>
      <c r="D2" s="21"/>
      <c r="E2" s="21"/>
      <c r="F2" s="21"/>
      <c r="G2" s="21"/>
      <c r="H2" s="21"/>
      <c r="I2" s="21"/>
      <c r="J2" s="21"/>
      <c r="K2" s="21"/>
    </row>
    <row r="3" spans="1:11">
      <c r="A3" s="21"/>
      <c r="B3" s="21"/>
      <c r="C3" s="21"/>
      <c r="D3" s="21"/>
      <c r="E3" s="21"/>
      <c r="F3" s="21"/>
      <c r="G3" s="21"/>
      <c r="H3" s="21"/>
      <c r="I3" s="21"/>
      <c r="J3" s="21"/>
      <c r="K3" s="21"/>
    </row>
    <row r="4" spans="1:11">
      <c r="A4" s="21"/>
      <c r="B4" s="21"/>
      <c r="C4" s="21"/>
      <c r="D4" s="21"/>
      <c r="E4" s="21"/>
      <c r="F4" s="21"/>
      <c r="G4" s="21"/>
      <c r="H4" s="21"/>
      <c r="I4" s="21"/>
      <c r="J4" s="21"/>
      <c r="K4" s="21"/>
    </row>
    <row r="5" spans="1:11">
      <c r="A5" s="21"/>
      <c r="B5" s="21"/>
      <c r="C5" s="21"/>
      <c r="D5" s="21"/>
      <c r="E5" s="21"/>
      <c r="F5" s="21"/>
      <c r="G5" s="21"/>
      <c r="H5" s="21"/>
      <c r="I5" s="21"/>
      <c r="J5" s="21"/>
      <c r="K5" s="21"/>
    </row>
    <row r="6" spans="1:11">
      <c r="A6" s="21"/>
      <c r="B6" s="21"/>
      <c r="C6" s="21"/>
      <c r="D6" s="21"/>
      <c r="E6" s="21"/>
      <c r="F6" s="21"/>
      <c r="G6" s="21"/>
      <c r="H6" s="21"/>
      <c r="I6" s="21"/>
      <c r="J6" s="21"/>
      <c r="K6" s="21"/>
    </row>
    <row r="7" spans="1:11">
      <c r="A7" s="21"/>
      <c r="B7" s="21"/>
      <c r="C7" s="21"/>
      <c r="D7" s="21"/>
      <c r="E7" s="21"/>
      <c r="F7" s="21"/>
      <c r="G7" s="21"/>
      <c r="H7" s="21"/>
      <c r="I7" s="21"/>
      <c r="J7" s="21"/>
      <c r="K7" s="21"/>
    </row>
    <row r="8" spans="1:11">
      <c r="A8" s="21"/>
      <c r="B8" s="21"/>
      <c r="C8" s="21"/>
      <c r="D8" s="21"/>
      <c r="E8" s="21"/>
      <c r="F8" s="21"/>
      <c r="G8" s="21"/>
      <c r="H8" s="21"/>
      <c r="I8" s="21"/>
      <c r="J8" s="21"/>
      <c r="K8" s="21"/>
    </row>
    <row r="9" spans="1:11">
      <c r="A9" s="21"/>
      <c r="B9" s="21"/>
      <c r="C9" s="21"/>
      <c r="D9" s="21"/>
      <c r="E9" s="21"/>
      <c r="F9" s="21"/>
      <c r="G9" s="21"/>
      <c r="H9" s="21"/>
      <c r="I9" s="21"/>
      <c r="J9" s="21"/>
      <c r="K9" s="21"/>
    </row>
    <row r="10" spans="1:11">
      <c r="A10" s="21"/>
      <c r="B10" s="21"/>
      <c r="C10" s="21"/>
      <c r="D10" s="21"/>
      <c r="E10" s="21"/>
      <c r="F10" s="21"/>
      <c r="G10" s="21"/>
      <c r="H10" s="21"/>
      <c r="I10" s="21"/>
      <c r="J10" s="21"/>
      <c r="K10" s="21"/>
    </row>
    <row r="11" spans="1:11">
      <c r="A11" s="21"/>
      <c r="B11" s="21"/>
      <c r="C11" s="21"/>
      <c r="D11" s="21"/>
      <c r="E11" s="21"/>
      <c r="F11" s="21"/>
      <c r="G11" s="21"/>
      <c r="H11" s="21"/>
      <c r="I11" s="21"/>
      <c r="J11" s="21"/>
      <c r="K11" s="21"/>
    </row>
    <row r="12" spans="1:11">
      <c r="A12" s="21"/>
      <c r="B12" s="21"/>
      <c r="C12" s="21"/>
      <c r="D12" s="21"/>
      <c r="E12" s="21"/>
      <c r="F12" s="21"/>
      <c r="G12" s="21"/>
      <c r="H12" s="21"/>
      <c r="I12" s="21"/>
      <c r="J12" s="21"/>
      <c r="K12" s="21"/>
    </row>
    <row r="13" spans="1:11">
      <c r="A13" s="21"/>
      <c r="B13" s="21"/>
      <c r="C13" s="21"/>
      <c r="D13" s="21"/>
      <c r="E13" s="21"/>
      <c r="F13" s="21"/>
      <c r="G13" s="21"/>
      <c r="H13" s="21"/>
      <c r="I13" s="21"/>
      <c r="J13" s="21"/>
      <c r="K13" s="21"/>
    </row>
    <row r="14" spans="1:11">
      <c r="A14" s="21"/>
      <c r="B14" s="21"/>
      <c r="C14" s="21"/>
      <c r="D14" s="21"/>
      <c r="E14" s="21"/>
      <c r="F14" s="21"/>
      <c r="G14" s="21"/>
      <c r="H14" s="21"/>
      <c r="I14" s="21"/>
      <c r="J14" s="21"/>
      <c r="K14" s="21"/>
    </row>
    <row r="15" spans="1:11">
      <c r="A15" s="21"/>
      <c r="B15" s="21"/>
      <c r="C15" s="21"/>
      <c r="D15" s="21"/>
      <c r="E15" s="21"/>
      <c r="F15" s="21"/>
      <c r="G15" s="21"/>
      <c r="H15" s="21"/>
      <c r="I15" s="21"/>
      <c r="J15" s="21"/>
      <c r="K15" s="21"/>
    </row>
    <row r="16" spans="1:11">
      <c r="A16" s="21"/>
      <c r="B16" s="21"/>
      <c r="C16" s="21"/>
      <c r="D16" s="21"/>
      <c r="E16" s="21"/>
      <c r="F16" s="21"/>
      <c r="G16" s="21"/>
      <c r="H16" s="21"/>
      <c r="I16" s="21"/>
      <c r="J16" s="21"/>
      <c r="K16" s="21"/>
    </row>
    <row r="17" spans="1:11">
      <c r="A17" s="21"/>
      <c r="B17" s="21"/>
      <c r="C17" s="21"/>
      <c r="D17" s="21"/>
      <c r="E17" s="21"/>
      <c r="F17" s="21"/>
      <c r="G17" s="21"/>
      <c r="H17" s="21"/>
      <c r="I17" s="21"/>
      <c r="J17" s="21"/>
      <c r="K17" s="21"/>
    </row>
    <row r="18" spans="1:11">
      <c r="A18" s="21"/>
      <c r="B18" s="21"/>
      <c r="C18" s="21"/>
      <c r="D18" s="21"/>
      <c r="E18" s="21"/>
      <c r="F18" s="21"/>
      <c r="G18" s="21"/>
      <c r="H18" s="21"/>
      <c r="I18" s="21"/>
      <c r="J18" s="21"/>
      <c r="K18" s="21"/>
    </row>
    <row r="19" spans="1:11">
      <c r="A19" s="21"/>
      <c r="B19" s="21"/>
      <c r="C19" s="21"/>
      <c r="D19" s="21"/>
      <c r="E19" s="21"/>
      <c r="F19" s="21"/>
      <c r="G19" s="21"/>
      <c r="H19" s="21"/>
      <c r="I19" s="21"/>
      <c r="J19" s="21"/>
      <c r="K19" s="21"/>
    </row>
    <row r="20" spans="1:11">
      <c r="A20" s="21"/>
      <c r="B20" s="21"/>
      <c r="C20" s="21"/>
      <c r="D20" s="21"/>
      <c r="E20" s="21"/>
      <c r="F20" s="21"/>
      <c r="G20" s="21"/>
      <c r="H20" s="21"/>
      <c r="I20" s="21"/>
      <c r="J20" s="21"/>
      <c r="K20" s="21"/>
    </row>
    <row r="21" spans="1:11">
      <c r="A21" s="21"/>
      <c r="B21" s="21"/>
      <c r="C21" s="21"/>
      <c r="D21" s="21"/>
      <c r="E21" s="21"/>
      <c r="F21" s="21"/>
      <c r="G21" s="21"/>
      <c r="H21" s="21"/>
      <c r="I21" s="21"/>
      <c r="J21" s="21"/>
      <c r="K21" s="21"/>
    </row>
    <row r="22" spans="1:11">
      <c r="A22" s="21"/>
      <c r="B22" s="21"/>
      <c r="C22" s="21"/>
      <c r="D22" s="21"/>
      <c r="E22" s="21"/>
      <c r="F22" s="21"/>
      <c r="G22" s="21"/>
      <c r="H22" s="21"/>
      <c r="I22" s="21"/>
      <c r="J22" s="21"/>
      <c r="K22" s="21"/>
    </row>
    <row r="23" spans="1:11">
      <c r="A23" s="21"/>
      <c r="B23" s="21"/>
      <c r="C23" s="21"/>
      <c r="D23" s="21"/>
      <c r="E23" s="21"/>
      <c r="F23" s="21"/>
      <c r="G23" s="21"/>
      <c r="H23" s="21"/>
      <c r="I23" s="21"/>
      <c r="J23" s="21"/>
      <c r="K23" s="21"/>
    </row>
    <row r="24" spans="1:11">
      <c r="A24" s="21"/>
      <c r="B24" s="21"/>
      <c r="C24" s="21"/>
      <c r="D24" s="21"/>
      <c r="E24" s="21"/>
      <c r="F24" s="21"/>
      <c r="G24" s="21"/>
      <c r="H24" s="21"/>
      <c r="I24" s="21"/>
      <c r="J24" s="21"/>
      <c r="K24" s="21"/>
    </row>
    <row r="25" spans="1:11">
      <c r="A25" s="21"/>
      <c r="B25" s="21"/>
      <c r="C25" s="21"/>
      <c r="D25" s="21"/>
      <c r="E25" s="21"/>
      <c r="F25" s="21"/>
      <c r="G25" s="21"/>
      <c r="H25" s="21"/>
      <c r="I25" s="21"/>
      <c r="J25" s="21"/>
      <c r="K25" s="21"/>
    </row>
    <row r="26" spans="1:11">
      <c r="A26" s="21"/>
      <c r="B26" s="21"/>
      <c r="C26" s="21"/>
      <c r="D26" s="21"/>
      <c r="E26" s="21"/>
      <c r="F26" s="21"/>
      <c r="G26" s="21"/>
      <c r="H26" s="21"/>
      <c r="I26" s="21"/>
      <c r="J26" s="21"/>
      <c r="K26" s="21"/>
    </row>
    <row r="27" spans="1:11">
      <c r="A27" s="21"/>
      <c r="B27" s="21"/>
      <c r="C27" s="21"/>
      <c r="D27" s="21"/>
      <c r="E27" s="21"/>
      <c r="F27" s="21"/>
      <c r="G27" s="21"/>
      <c r="H27" s="21"/>
      <c r="I27" s="21"/>
      <c r="J27" s="21"/>
      <c r="K27" s="21"/>
    </row>
    <row r="28" spans="1:11">
      <c r="A28" s="21"/>
      <c r="B28" s="21"/>
      <c r="C28" s="21"/>
      <c r="D28" s="21"/>
      <c r="E28" s="21"/>
      <c r="F28" s="21"/>
      <c r="G28" s="21"/>
      <c r="H28" s="21"/>
      <c r="I28" s="21"/>
      <c r="J28" s="21"/>
      <c r="K28" s="21"/>
    </row>
    <row r="29" spans="1:11">
      <c r="A29" s="21"/>
      <c r="B29" s="21"/>
      <c r="C29" s="21"/>
      <c r="D29" s="21"/>
      <c r="E29" s="21"/>
      <c r="F29" s="21"/>
      <c r="G29" s="21"/>
      <c r="H29" s="21"/>
      <c r="I29" s="21"/>
      <c r="J29" s="21"/>
      <c r="K29" s="21"/>
    </row>
    <row r="30" spans="1:11">
      <c r="A30" s="21"/>
      <c r="B30" s="21"/>
      <c r="C30" s="21"/>
      <c r="D30" s="21"/>
      <c r="E30" s="21"/>
      <c r="F30" s="21"/>
      <c r="G30" s="21"/>
      <c r="H30" s="21"/>
      <c r="I30" s="21"/>
      <c r="J30" s="21"/>
      <c r="K30" s="21"/>
    </row>
    <row r="31" spans="1:11">
      <c r="A31" s="21"/>
      <c r="B31" s="21"/>
      <c r="C31" s="21"/>
      <c r="D31" s="21"/>
      <c r="E31" s="21"/>
      <c r="F31" s="21"/>
      <c r="G31" s="21"/>
      <c r="H31" s="21"/>
      <c r="I31" s="21"/>
      <c r="J31" s="21"/>
      <c r="K31" s="21"/>
    </row>
    <row r="32" spans="1:11">
      <c r="A32" s="21"/>
      <c r="B32" s="21"/>
      <c r="C32" s="21"/>
      <c r="D32" s="21"/>
      <c r="E32" s="21"/>
      <c r="F32" s="21"/>
      <c r="G32" s="21"/>
      <c r="H32" s="21"/>
      <c r="I32" s="21"/>
      <c r="J32" s="21"/>
      <c r="K32" s="21"/>
    </row>
    <row r="33" spans="1:11">
      <c r="A33" s="21"/>
      <c r="B33" s="21"/>
      <c r="C33" s="21"/>
      <c r="D33" s="21"/>
      <c r="E33" s="21"/>
      <c r="F33" s="21"/>
      <c r="G33" s="21"/>
      <c r="H33" s="21"/>
      <c r="I33" s="21"/>
      <c r="J33" s="21"/>
      <c r="K33" s="21"/>
    </row>
    <row r="34" spans="1:11">
      <c r="A34" s="21"/>
      <c r="B34" s="21"/>
      <c r="C34" s="21"/>
      <c r="D34" s="21"/>
      <c r="E34" s="21"/>
      <c r="F34" s="21"/>
      <c r="G34" s="21"/>
      <c r="H34" s="21"/>
      <c r="I34" s="21"/>
      <c r="J34" s="21"/>
      <c r="K34" s="21"/>
    </row>
    <row r="35" spans="1:11">
      <c r="A35" s="21"/>
      <c r="B35" s="21"/>
      <c r="C35" s="21"/>
      <c r="D35" s="21"/>
      <c r="E35" s="21"/>
      <c r="F35" s="21"/>
      <c r="G35" s="21"/>
      <c r="H35" s="21"/>
      <c r="I35" s="21"/>
      <c r="J35" s="21"/>
      <c r="K35" s="21"/>
    </row>
    <row r="36" spans="1:11">
      <c r="A36" s="21"/>
      <c r="B36" s="21"/>
      <c r="C36" s="21"/>
      <c r="D36" s="21"/>
      <c r="E36" s="21"/>
      <c r="F36" s="21"/>
      <c r="G36" s="21"/>
      <c r="H36" s="21"/>
      <c r="I36" s="21"/>
      <c r="J36" s="21"/>
      <c r="K36" s="21"/>
    </row>
    <row r="37" spans="1:11">
      <c r="A37" s="21"/>
      <c r="B37" s="21"/>
      <c r="C37" s="21"/>
      <c r="D37" s="21"/>
      <c r="E37" s="21"/>
      <c r="F37" s="21"/>
      <c r="G37" s="21"/>
      <c r="H37" s="21"/>
      <c r="I37" s="21"/>
      <c r="J37" s="21"/>
      <c r="K37" s="21"/>
    </row>
    <row r="38" spans="1:11">
      <c r="A38" s="21"/>
      <c r="B38" s="21"/>
      <c r="C38" s="21"/>
      <c r="D38" s="21"/>
      <c r="E38" s="21"/>
      <c r="F38" s="21"/>
      <c r="G38" s="21"/>
      <c r="H38" s="21"/>
      <c r="I38" s="21"/>
      <c r="J38" s="21"/>
      <c r="K38" s="21"/>
    </row>
    <row r="39" spans="1:11">
      <c r="A39" s="21"/>
      <c r="B39" s="21"/>
      <c r="C39" s="21"/>
      <c r="D39" s="21"/>
      <c r="E39" s="21"/>
      <c r="F39" s="21"/>
      <c r="G39" s="21"/>
      <c r="H39" s="21"/>
      <c r="I39" s="21"/>
      <c r="J39" s="21"/>
      <c r="K39" s="21"/>
    </row>
    <row r="40" spans="1:11">
      <c r="A40" s="21"/>
      <c r="B40" s="21"/>
      <c r="C40" s="21"/>
      <c r="D40" s="21"/>
      <c r="E40" s="21"/>
      <c r="F40" s="21"/>
      <c r="G40" s="21"/>
      <c r="H40" s="21"/>
      <c r="I40" s="21"/>
      <c r="J40" s="21"/>
      <c r="K40" s="21"/>
    </row>
    <row r="41" spans="1:11">
      <c r="A41" s="21"/>
      <c r="B41" s="21"/>
      <c r="C41" s="21"/>
      <c r="D41" s="21"/>
      <c r="E41" s="21"/>
      <c r="F41" s="21"/>
      <c r="G41" s="21"/>
      <c r="H41" s="21"/>
      <c r="I41" s="21"/>
      <c r="J41" s="21"/>
      <c r="K41" s="21"/>
    </row>
    <row r="42" spans="1:11">
      <c r="A42" s="21"/>
      <c r="B42" s="21"/>
      <c r="C42" s="21"/>
      <c r="D42" s="21"/>
      <c r="E42" s="21"/>
      <c r="F42" s="21"/>
      <c r="G42" s="21"/>
      <c r="H42" s="21"/>
      <c r="I42" s="21"/>
      <c r="J42" s="21"/>
      <c r="K42" s="21"/>
    </row>
    <row r="43" spans="1:11">
      <c r="A43" s="21"/>
      <c r="B43" s="21"/>
      <c r="C43" s="21"/>
      <c r="D43" s="21"/>
      <c r="E43" s="21"/>
      <c r="F43" s="21"/>
      <c r="G43" s="21"/>
      <c r="H43" s="21"/>
      <c r="I43" s="21"/>
      <c r="J43" s="21"/>
      <c r="K43" s="21"/>
    </row>
    <row r="44" spans="1:11">
      <c r="A44" s="21"/>
      <c r="B44" s="21"/>
      <c r="C44" s="21"/>
      <c r="D44" s="21"/>
      <c r="E44" s="21"/>
      <c r="F44" s="21"/>
      <c r="G44" s="21"/>
      <c r="H44" s="21"/>
      <c r="I44" s="21"/>
      <c r="J44" s="21"/>
      <c r="K44" s="21"/>
    </row>
    <row r="45" spans="1:11">
      <c r="A45" s="21"/>
      <c r="B45" s="21"/>
      <c r="C45" s="21"/>
      <c r="D45" s="21"/>
      <c r="E45" s="21"/>
      <c r="F45" s="21"/>
      <c r="G45" s="21"/>
      <c r="H45" s="21"/>
      <c r="I45" s="21"/>
      <c r="J45" s="21"/>
      <c r="K45" s="21"/>
    </row>
    <row r="46" spans="1:11">
      <c r="A46" s="21"/>
      <c r="B46" s="21"/>
      <c r="C46" s="21"/>
      <c r="D46" s="21"/>
      <c r="E46" s="21"/>
      <c r="F46" s="21"/>
      <c r="G46" s="21"/>
      <c r="H46" s="21"/>
      <c r="I46" s="21"/>
      <c r="J46" s="21"/>
      <c r="K46" s="21"/>
    </row>
    <row r="47" spans="1:11">
      <c r="A47" s="21"/>
      <c r="B47" s="21"/>
      <c r="C47" s="21"/>
      <c r="D47" s="21"/>
      <c r="E47" s="21"/>
      <c r="F47" s="21"/>
      <c r="G47" s="21"/>
      <c r="H47" s="21"/>
      <c r="I47" s="21"/>
      <c r="J47" s="21"/>
      <c r="K47" s="21"/>
    </row>
    <row r="48" spans="1:11">
      <c r="A48" s="21"/>
      <c r="B48" s="21"/>
      <c r="C48" s="21"/>
      <c r="D48" s="21"/>
      <c r="E48" s="21"/>
      <c r="F48" s="21"/>
      <c r="G48" s="21"/>
      <c r="H48" s="21"/>
      <c r="I48" s="21"/>
      <c r="J48" s="21"/>
      <c r="K48" s="21"/>
    </row>
    <row r="49" spans="1:11">
      <c r="A49" s="21"/>
      <c r="B49" s="21"/>
      <c r="C49" s="21"/>
      <c r="D49" s="21"/>
      <c r="E49" s="21"/>
      <c r="F49" s="21"/>
      <c r="G49" s="21"/>
      <c r="H49" s="21"/>
      <c r="I49" s="21"/>
      <c r="J49" s="21"/>
      <c r="K49" s="21"/>
    </row>
    <row r="50" spans="1:11">
      <c r="A50" s="21"/>
      <c r="B50" s="21"/>
      <c r="C50" s="21"/>
      <c r="D50" s="21"/>
      <c r="E50" s="21"/>
      <c r="F50" s="21"/>
      <c r="G50" s="21"/>
      <c r="H50" s="21"/>
      <c r="I50" s="21"/>
      <c r="J50" s="21"/>
      <c r="K50" s="21"/>
    </row>
    <row r="51" spans="1:11">
      <c r="A51" s="21"/>
      <c r="B51" s="21"/>
      <c r="C51" s="21"/>
      <c r="D51" s="21"/>
      <c r="E51" s="21"/>
      <c r="F51" s="21"/>
      <c r="G51" s="21"/>
      <c r="H51" s="21"/>
      <c r="I51" s="21"/>
      <c r="J51" s="21"/>
      <c r="K51" s="21"/>
    </row>
    <row r="52" spans="1:11">
      <c r="A52" s="21"/>
      <c r="B52" s="21"/>
      <c r="C52" s="21"/>
      <c r="D52" s="21"/>
      <c r="E52" s="21"/>
      <c r="F52" s="21"/>
      <c r="G52" s="21"/>
      <c r="H52" s="21"/>
      <c r="I52" s="21"/>
      <c r="J52" s="21"/>
      <c r="K52" s="21"/>
    </row>
    <row r="53" spans="1:11">
      <c r="A53" s="21"/>
      <c r="B53" s="21"/>
      <c r="C53" s="21"/>
      <c r="D53" s="21"/>
      <c r="E53" s="21"/>
      <c r="F53" s="21"/>
      <c r="G53" s="21"/>
      <c r="H53" s="21"/>
      <c r="I53" s="21"/>
      <c r="J53" s="21"/>
      <c r="K53" s="21"/>
    </row>
    <row r="54" spans="1:11">
      <c r="A54" s="21"/>
      <c r="B54" s="21"/>
      <c r="C54" s="21"/>
      <c r="D54" s="21"/>
      <c r="E54" s="21"/>
      <c r="F54" s="21"/>
      <c r="G54" s="21"/>
      <c r="H54" s="21"/>
      <c r="I54" s="21"/>
      <c r="J54" s="21"/>
      <c r="K54" s="21"/>
    </row>
    <row r="55" spans="1:11">
      <c r="A55" s="21"/>
      <c r="B55" s="21"/>
      <c r="C55" s="21"/>
      <c r="D55" s="21"/>
      <c r="E55" s="21"/>
      <c r="F55" s="21"/>
      <c r="G55" s="21"/>
      <c r="H55" s="21"/>
      <c r="I55" s="21"/>
      <c r="J55" s="21"/>
      <c r="K55" s="21"/>
    </row>
    <row r="56" spans="1:11">
      <c r="A56" s="21"/>
      <c r="B56" s="21"/>
      <c r="C56" s="21"/>
      <c r="D56" s="21"/>
      <c r="E56" s="21"/>
      <c r="F56" s="21"/>
      <c r="G56" s="21"/>
      <c r="H56" s="21"/>
      <c r="I56" s="21"/>
      <c r="J56" s="21"/>
      <c r="K56" s="21"/>
    </row>
    <row r="57" spans="1:11">
      <c r="A57" s="21"/>
      <c r="B57" s="21"/>
      <c r="C57" s="21"/>
      <c r="D57" s="21"/>
      <c r="E57" s="21"/>
      <c r="F57" s="21"/>
      <c r="G57" s="21"/>
      <c r="H57" s="21"/>
      <c r="I57" s="21"/>
      <c r="J57" s="21"/>
      <c r="K57" s="21"/>
    </row>
    <row r="58" spans="1:11">
      <c r="A58" s="21"/>
      <c r="B58" s="21"/>
      <c r="C58" s="21"/>
      <c r="D58" s="21"/>
      <c r="E58" s="21"/>
      <c r="F58" s="21"/>
      <c r="G58" s="21"/>
      <c r="H58" s="21"/>
      <c r="I58" s="21"/>
      <c r="J58" s="21"/>
      <c r="K58" s="21"/>
    </row>
    <row r="59" spans="1:11">
      <c r="A59" s="21"/>
      <c r="B59" s="21"/>
      <c r="C59" s="21"/>
      <c r="D59" s="21"/>
      <c r="E59" s="21"/>
      <c r="F59" s="21"/>
      <c r="G59" s="21"/>
      <c r="H59" s="21"/>
      <c r="I59" s="21"/>
      <c r="J59" s="21"/>
      <c r="K59" s="21"/>
    </row>
    <row r="60" spans="1:11">
      <c r="A60" s="21"/>
      <c r="B60" s="21"/>
      <c r="C60" s="21"/>
      <c r="D60" s="21"/>
      <c r="E60" s="21"/>
      <c r="F60" s="21"/>
      <c r="G60" s="21"/>
      <c r="H60" s="21"/>
      <c r="I60" s="21"/>
      <c r="J60" s="21"/>
      <c r="K60" s="21"/>
    </row>
    <row r="61" spans="1:11">
      <c r="A61" s="21"/>
      <c r="B61" s="21"/>
      <c r="C61" s="21"/>
      <c r="D61" s="21"/>
      <c r="E61" s="21"/>
      <c r="F61" s="21"/>
      <c r="G61" s="21"/>
      <c r="H61" s="21"/>
      <c r="I61" s="21"/>
      <c r="J61" s="21"/>
      <c r="K61" s="21"/>
    </row>
    <row r="62" spans="1:11">
      <c r="A62" s="21"/>
      <c r="B62" s="21"/>
      <c r="C62" s="21"/>
      <c r="D62" s="21"/>
      <c r="E62" s="21"/>
      <c r="F62" s="21"/>
      <c r="G62" s="21"/>
      <c r="H62" s="21"/>
      <c r="I62" s="21"/>
      <c r="J62" s="21"/>
      <c r="K62" s="21"/>
    </row>
    <row r="63" spans="1:11">
      <c r="A63" s="21"/>
      <c r="B63" s="21"/>
      <c r="C63" s="21"/>
      <c r="D63" s="21"/>
      <c r="E63" s="21"/>
      <c r="F63" s="21"/>
      <c r="G63" s="21"/>
      <c r="H63" s="21"/>
      <c r="I63" s="21"/>
      <c r="J63" s="21"/>
      <c r="K63" s="21"/>
    </row>
    <row r="64" spans="1:11">
      <c r="A64" s="21"/>
      <c r="B64" s="21"/>
      <c r="C64" s="21"/>
      <c r="D64" s="21"/>
      <c r="E64" s="21"/>
      <c r="F64" s="21"/>
      <c r="G64" s="21"/>
      <c r="H64" s="21"/>
      <c r="I64" s="21"/>
      <c r="J64" s="21"/>
      <c r="K64" s="21"/>
    </row>
    <row r="65" spans="1:11">
      <c r="A65" s="21"/>
      <c r="B65" s="21"/>
      <c r="C65" s="21"/>
      <c r="D65" s="21"/>
      <c r="E65" s="21"/>
      <c r="F65" s="21"/>
      <c r="G65" s="21"/>
      <c r="H65" s="21"/>
      <c r="I65" s="21"/>
      <c r="J65" s="21"/>
      <c r="K65" s="21"/>
    </row>
    <row r="66" spans="1:11">
      <c r="A66" s="21"/>
      <c r="B66" s="21"/>
      <c r="C66" s="21"/>
      <c r="D66" s="21"/>
      <c r="E66" s="21"/>
      <c r="F66" s="21"/>
      <c r="G66" s="21"/>
      <c r="H66" s="21"/>
      <c r="I66" s="21"/>
      <c r="J66" s="21"/>
      <c r="K66" s="21"/>
    </row>
    <row r="67" spans="1:11">
      <c r="A67" s="21"/>
      <c r="B67" s="21"/>
      <c r="C67" s="21"/>
      <c r="D67" s="21"/>
      <c r="E67" s="21"/>
      <c r="F67" s="21"/>
      <c r="G67" s="21"/>
      <c r="H67" s="21"/>
      <c r="I67" s="21"/>
      <c r="J67" s="21"/>
      <c r="K67" s="21"/>
    </row>
    <row r="68" spans="1:11">
      <c r="A68" s="21"/>
      <c r="B68" s="21"/>
      <c r="C68" s="21"/>
      <c r="D68" s="21"/>
      <c r="E68" s="21"/>
      <c r="F68" s="21"/>
      <c r="G68" s="21"/>
      <c r="H68" s="21"/>
      <c r="I68" s="21"/>
      <c r="J68" s="21"/>
      <c r="K68" s="21"/>
    </row>
    <row r="69" spans="1:11">
      <c r="A69" s="21"/>
      <c r="B69" s="21"/>
      <c r="C69" s="21"/>
      <c r="D69" s="21"/>
      <c r="E69" s="21"/>
      <c r="F69" s="21"/>
      <c r="G69" s="21"/>
      <c r="H69" s="21"/>
      <c r="I69" s="21"/>
      <c r="J69" s="21"/>
      <c r="K69" s="21"/>
    </row>
    <row r="70" spans="1:11">
      <c r="A70" s="21"/>
      <c r="B70" s="21"/>
      <c r="C70" s="21"/>
      <c r="D70" s="21"/>
      <c r="E70" s="21"/>
      <c r="F70" s="21"/>
      <c r="G70" s="21"/>
      <c r="H70" s="21"/>
      <c r="I70" s="21"/>
      <c r="J70" s="21"/>
      <c r="K70" s="21"/>
    </row>
    <row r="71" spans="1:11">
      <c r="A71" s="21"/>
      <c r="B71" s="21"/>
      <c r="C71" s="21"/>
      <c r="D71" s="21"/>
      <c r="E71" s="21"/>
      <c r="F71" s="21"/>
      <c r="G71" s="21"/>
      <c r="H71" s="21"/>
      <c r="I71" s="21"/>
      <c r="J71" s="21"/>
      <c r="K71" s="21"/>
    </row>
    <row r="72" spans="1:11">
      <c r="A72" s="21"/>
      <c r="B72" s="21"/>
      <c r="C72" s="21"/>
      <c r="D72" s="21"/>
      <c r="E72" s="21"/>
      <c r="F72" s="21"/>
      <c r="G72" s="21"/>
      <c r="H72" s="21"/>
      <c r="I72" s="21"/>
      <c r="J72" s="21"/>
      <c r="K72" s="21"/>
    </row>
    <row r="73" spans="1:11">
      <c r="A73" s="21"/>
      <c r="B73" s="21"/>
      <c r="C73" s="21"/>
      <c r="D73" s="21"/>
      <c r="E73" s="21"/>
      <c r="F73" s="21"/>
      <c r="G73" s="21"/>
      <c r="H73" s="21"/>
      <c r="I73" s="21"/>
      <c r="J73" s="21"/>
      <c r="K73" s="21"/>
    </row>
    <row r="74" spans="1:11">
      <c r="A74" s="21"/>
      <c r="B74" s="21"/>
      <c r="C74" s="21"/>
      <c r="D74" s="21"/>
      <c r="E74" s="21"/>
      <c r="F74" s="21"/>
      <c r="G74" s="21"/>
      <c r="H74" s="21"/>
      <c r="I74" s="21"/>
      <c r="J74" s="21"/>
      <c r="K74" s="21"/>
    </row>
    <row r="75" spans="1:11">
      <c r="A75" s="21"/>
      <c r="B75" s="21"/>
      <c r="C75" s="21"/>
      <c r="D75" s="21"/>
      <c r="E75" s="21"/>
      <c r="F75" s="21"/>
      <c r="G75" s="21"/>
      <c r="H75" s="21"/>
      <c r="I75" s="21"/>
      <c r="J75" s="21"/>
      <c r="K75" s="21"/>
    </row>
    <row r="76" spans="1:11">
      <c r="A76" s="21"/>
      <c r="B76" s="21"/>
      <c r="C76" s="21"/>
      <c r="D76" s="21"/>
      <c r="E76" s="21"/>
      <c r="F76" s="21"/>
      <c r="G76" s="21"/>
      <c r="H76" s="21"/>
      <c r="I76" s="21"/>
      <c r="J76" s="21"/>
      <c r="K76" s="21"/>
    </row>
    <row r="77" spans="1:11">
      <c r="A77" s="21"/>
      <c r="B77" s="21"/>
      <c r="C77" s="21"/>
      <c r="D77" s="21"/>
      <c r="E77" s="21"/>
      <c r="F77" s="21"/>
      <c r="G77" s="21"/>
      <c r="H77" s="21"/>
      <c r="I77" s="21"/>
      <c r="J77" s="21"/>
      <c r="K77" s="21"/>
    </row>
    <row r="78" spans="1:11">
      <c r="A78" s="21"/>
      <c r="B78" s="21"/>
      <c r="C78" s="21"/>
      <c r="D78" s="21"/>
      <c r="E78" s="21"/>
      <c r="F78" s="21"/>
      <c r="G78" s="21"/>
      <c r="H78" s="21"/>
      <c r="I78" s="21"/>
      <c r="J78" s="21"/>
      <c r="K78" s="21"/>
    </row>
    <row r="79" spans="1:11">
      <c r="A79" s="21"/>
      <c r="B79" s="21"/>
      <c r="C79" s="21"/>
      <c r="D79" s="21"/>
      <c r="E79" s="21"/>
      <c r="F79" s="21"/>
      <c r="G79" s="21"/>
      <c r="H79" s="21"/>
      <c r="I79" s="21"/>
      <c r="J79" s="21"/>
      <c r="K79" s="21"/>
    </row>
    <row r="80" spans="1:11">
      <c r="A80" s="21"/>
      <c r="B80" s="21"/>
      <c r="C80" s="21"/>
      <c r="D80" s="21"/>
      <c r="E80" s="21"/>
      <c r="F80" s="21"/>
      <c r="G80" s="21"/>
      <c r="H80" s="21"/>
      <c r="I80" s="21"/>
      <c r="J80" s="21"/>
      <c r="K80" s="21"/>
    </row>
    <row r="81" spans="1:11">
      <c r="A81" s="21"/>
      <c r="B81" s="21"/>
      <c r="C81" s="21"/>
      <c r="D81" s="21"/>
      <c r="E81" s="21"/>
      <c r="F81" s="21"/>
      <c r="G81" s="21"/>
      <c r="H81" s="21"/>
      <c r="I81" s="21"/>
      <c r="J81" s="21"/>
      <c r="K81" s="21"/>
    </row>
    <row r="82" spans="1:11">
      <c r="A82" s="21"/>
      <c r="B82" s="21"/>
      <c r="C82" s="21"/>
      <c r="D82" s="21"/>
      <c r="E82" s="21"/>
      <c r="F82" s="21"/>
      <c r="G82" s="21"/>
      <c r="H82" s="21"/>
      <c r="I82" s="21"/>
      <c r="J82" s="21"/>
      <c r="K82" s="21"/>
    </row>
    <row r="83" spans="1:11">
      <c r="A83" s="21"/>
      <c r="B83" s="21"/>
      <c r="C83" s="21"/>
      <c r="D83" s="21"/>
      <c r="E83" s="21"/>
      <c r="F83" s="21"/>
      <c r="G83" s="21"/>
      <c r="H83" s="21"/>
      <c r="I83" s="21"/>
      <c r="J83" s="21"/>
      <c r="K83" s="21"/>
    </row>
    <row r="84" spans="1:11">
      <c r="A84" s="21"/>
      <c r="B84" s="21"/>
      <c r="C84" s="21"/>
      <c r="D84" s="21"/>
      <c r="E84" s="21"/>
      <c r="F84" s="21"/>
      <c r="G84" s="21"/>
      <c r="H84" s="21"/>
      <c r="I84" s="21"/>
      <c r="J84" s="21"/>
      <c r="K84" s="21"/>
    </row>
    <row r="85" spans="1:11">
      <c r="A85" s="21"/>
      <c r="B85" s="21"/>
      <c r="C85" s="21"/>
      <c r="D85" s="21"/>
      <c r="E85" s="21"/>
      <c r="F85" s="21"/>
      <c r="G85" s="21"/>
      <c r="H85" s="21"/>
      <c r="I85" s="21"/>
      <c r="J85" s="21"/>
      <c r="K85" s="21"/>
    </row>
    <row r="86" spans="1:11">
      <c r="A86" s="21"/>
      <c r="B86" s="21"/>
      <c r="C86" s="21"/>
      <c r="D86" s="21"/>
      <c r="E86" s="21"/>
      <c r="F86" s="21"/>
      <c r="G86" s="21"/>
      <c r="H86" s="21"/>
      <c r="I86" s="21"/>
      <c r="J86" s="21"/>
      <c r="K86" s="21"/>
    </row>
    <row r="87" spans="1:11">
      <c r="A87" s="21"/>
      <c r="B87" s="21"/>
      <c r="C87" s="21"/>
      <c r="D87" s="21"/>
      <c r="E87" s="21"/>
      <c r="F87" s="21"/>
      <c r="G87" s="21"/>
      <c r="H87" s="21"/>
      <c r="I87" s="21"/>
      <c r="J87" s="21"/>
      <c r="K87" s="21"/>
    </row>
    <row r="88" spans="1:11">
      <c r="A88" s="21"/>
      <c r="B88" s="21"/>
      <c r="C88" s="21"/>
      <c r="D88" s="21"/>
      <c r="E88" s="21"/>
      <c r="F88" s="21"/>
      <c r="G88" s="21"/>
      <c r="H88" s="21"/>
      <c r="I88" s="21"/>
      <c r="J88" s="21"/>
      <c r="K88" s="21"/>
    </row>
    <row r="89" spans="1:11">
      <c r="A89" s="21"/>
      <c r="B89" s="21"/>
      <c r="C89" s="21"/>
      <c r="D89" s="21"/>
      <c r="E89" s="21"/>
      <c r="F89" s="21"/>
      <c r="G89" s="21"/>
      <c r="H89" s="21"/>
      <c r="I89" s="21"/>
      <c r="J89" s="21"/>
      <c r="K89" s="21"/>
    </row>
    <row r="90" spans="1:11">
      <c r="A90" s="21"/>
      <c r="B90" s="21"/>
      <c r="C90" s="21"/>
      <c r="D90" s="21"/>
      <c r="E90" s="21"/>
      <c r="F90" s="21"/>
      <c r="G90" s="21"/>
      <c r="H90" s="21"/>
      <c r="I90" s="21"/>
      <c r="J90" s="21"/>
      <c r="K90" s="21"/>
    </row>
    <row r="91" spans="1:11">
      <c r="A91" s="21"/>
      <c r="B91" s="21"/>
      <c r="C91" s="21"/>
      <c r="D91" s="21"/>
      <c r="E91" s="21"/>
      <c r="F91" s="21"/>
      <c r="G91" s="21"/>
      <c r="H91" s="21"/>
      <c r="I91" s="21"/>
      <c r="J91" s="21"/>
      <c r="K91" s="21"/>
    </row>
    <row r="92" spans="1:11">
      <c r="A92" s="21"/>
      <c r="B92" s="21"/>
      <c r="C92" s="21"/>
      <c r="D92" s="21"/>
      <c r="E92" s="21"/>
      <c r="F92" s="21"/>
      <c r="G92" s="21"/>
      <c r="H92" s="21"/>
      <c r="I92" s="21"/>
      <c r="J92" s="21"/>
      <c r="K92" s="21"/>
    </row>
    <row r="93" spans="1:11">
      <c r="A93" s="21"/>
      <c r="B93" s="21"/>
      <c r="C93" s="21"/>
      <c r="D93" s="21"/>
      <c r="E93" s="21"/>
      <c r="F93" s="21"/>
      <c r="G93" s="21"/>
      <c r="H93" s="21"/>
      <c r="I93" s="21"/>
      <c r="J93" s="21"/>
      <c r="K93" s="21"/>
    </row>
    <row r="94" spans="1:11">
      <c r="A94" s="21"/>
      <c r="B94" s="21"/>
      <c r="C94" s="21"/>
      <c r="D94" s="21"/>
      <c r="E94" s="21"/>
      <c r="F94" s="21"/>
      <c r="G94" s="21"/>
      <c r="H94" s="21"/>
      <c r="I94" s="21"/>
      <c r="J94" s="21"/>
      <c r="K94" s="21"/>
    </row>
  </sheetData>
  <sheetProtection formatColumns="0" formatRows="0" insertColumns="0" insertRows="0"/>
  <printOptions horizontalCentered="1"/>
  <pageMargins left="0.25" right="0.25" top="0.5" bottom="0.5" header="0.3" footer="0.3"/>
  <pageSetup scale="95" orientation="landscape" r:id="rId1"/>
  <headerFooter scaleWithDoc="0">
    <oddHeader>&amp;C&amp;"-,Bold"&amp;20 2023 Income Statement</oddHead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1185" r:id="rId4" name="Button 1">
              <controlPr defaultSize="0" print="0" autoFill="0" autoPict="0" macro="[0]!PasteImageWithBorder_ExtraPage">
                <anchor moveWithCells="1" sizeWithCells="1">
                  <from>
                    <xdr:col>15</xdr:col>
                    <xdr:colOff>365760</xdr:colOff>
                    <xdr:row>3</xdr:row>
                    <xdr:rowOff>0</xdr:rowOff>
                  </from>
                  <to>
                    <xdr:col>18</xdr:col>
                    <xdr:colOff>350520</xdr:colOff>
                    <xdr:row>6</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ECAC57-25B9-406A-99CB-1100E8B28F86}">
  <sheetPr codeName="Sheet17">
    <tabColor theme="9" tint="-0.249977111117893"/>
  </sheetPr>
  <dimension ref="A1:K94"/>
  <sheetViews>
    <sheetView view="pageLayout" zoomScale="115" zoomScaleNormal="115" zoomScaleSheetLayoutView="130" zoomScalePageLayoutView="115" workbookViewId="0">
      <selection activeCell="A5" sqref="A5:I7"/>
    </sheetView>
  </sheetViews>
  <sheetFormatPr defaultRowHeight="14.4"/>
  <cols>
    <col min="1" max="1" width="9.6640625" customWidth="1"/>
    <col min="11" max="11" width="9.6640625" customWidth="1"/>
  </cols>
  <sheetData>
    <row r="1" spans="1:11">
      <c r="A1" s="21"/>
      <c r="B1" s="21"/>
      <c r="C1" s="21"/>
      <c r="D1" s="21"/>
      <c r="E1" s="21"/>
      <c r="F1" s="21"/>
      <c r="G1" s="21"/>
      <c r="H1" s="21"/>
      <c r="I1" s="21"/>
      <c r="J1" s="21"/>
      <c r="K1" s="21"/>
    </row>
    <row r="2" spans="1:11">
      <c r="A2" s="21"/>
      <c r="B2" s="21"/>
      <c r="C2" s="21"/>
      <c r="D2" s="21"/>
      <c r="E2" s="21"/>
      <c r="F2" s="21"/>
      <c r="G2" s="21"/>
      <c r="H2" s="21"/>
      <c r="I2" s="21"/>
      <c r="J2" s="21"/>
      <c r="K2" s="21"/>
    </row>
    <row r="3" spans="1:11">
      <c r="A3" s="21"/>
      <c r="B3" s="21"/>
      <c r="C3" s="21"/>
      <c r="D3" s="21"/>
      <c r="E3" s="21"/>
      <c r="F3" s="21"/>
      <c r="G3" s="21"/>
      <c r="H3" s="21"/>
      <c r="I3" s="21"/>
      <c r="J3" s="21"/>
      <c r="K3" s="21"/>
    </row>
    <row r="4" spans="1:11">
      <c r="A4" s="21"/>
      <c r="B4" s="21"/>
      <c r="C4" s="21"/>
      <c r="D4" s="21"/>
      <c r="E4" s="21"/>
      <c r="F4" s="21"/>
      <c r="G4" s="21"/>
      <c r="H4" s="21"/>
      <c r="I4" s="21"/>
      <c r="J4" s="21"/>
      <c r="K4" s="21"/>
    </row>
    <row r="5" spans="1:11">
      <c r="A5" s="21"/>
      <c r="B5" s="21"/>
      <c r="C5" s="21"/>
      <c r="D5" s="21"/>
      <c r="E5" s="21"/>
      <c r="F5" s="21"/>
      <c r="G5" s="21"/>
      <c r="H5" s="21"/>
      <c r="I5" s="21"/>
      <c r="J5" s="21"/>
      <c r="K5" s="21"/>
    </row>
    <row r="6" spans="1:11">
      <c r="A6" s="21"/>
      <c r="B6" s="21"/>
      <c r="C6" s="21"/>
      <c r="D6" s="21"/>
      <c r="E6" s="21"/>
      <c r="F6" s="21"/>
      <c r="G6" s="21"/>
      <c r="H6" s="21"/>
      <c r="I6" s="21"/>
      <c r="J6" s="21"/>
      <c r="K6" s="21"/>
    </row>
    <row r="7" spans="1:11">
      <c r="A7" s="21"/>
      <c r="B7" s="21"/>
      <c r="C7" s="21"/>
      <c r="D7" s="21"/>
      <c r="E7" s="21"/>
      <c r="F7" s="21"/>
      <c r="G7" s="21"/>
      <c r="H7" s="21"/>
      <c r="I7" s="21"/>
      <c r="J7" s="21"/>
      <c r="K7" s="21"/>
    </row>
    <row r="8" spans="1:11">
      <c r="A8" s="21"/>
      <c r="B8" s="21"/>
      <c r="C8" s="21"/>
      <c r="D8" s="21"/>
      <c r="E8" s="21"/>
      <c r="F8" s="21"/>
      <c r="G8" s="21"/>
      <c r="H8" s="21"/>
      <c r="I8" s="21"/>
      <c r="J8" s="21"/>
      <c r="K8" s="21"/>
    </row>
    <row r="9" spans="1:11">
      <c r="A9" s="21"/>
      <c r="B9" s="21"/>
      <c r="C9" s="21"/>
      <c r="D9" s="21"/>
      <c r="E9" s="21"/>
      <c r="F9" s="21"/>
      <c r="G9" s="21"/>
      <c r="H9" s="21"/>
      <c r="I9" s="21"/>
      <c r="J9" s="21"/>
      <c r="K9" s="21"/>
    </row>
    <row r="10" spans="1:11">
      <c r="A10" s="21"/>
      <c r="B10" s="21"/>
      <c r="C10" s="21"/>
      <c r="D10" s="21"/>
      <c r="E10" s="21"/>
      <c r="F10" s="21"/>
      <c r="G10" s="21"/>
      <c r="H10" s="21"/>
      <c r="I10" s="21"/>
      <c r="J10" s="21"/>
      <c r="K10" s="21"/>
    </row>
    <row r="11" spans="1:11">
      <c r="A11" s="21"/>
      <c r="B11" s="21"/>
      <c r="C11" s="21"/>
      <c r="D11" s="21"/>
      <c r="E11" s="21"/>
      <c r="F11" s="21"/>
      <c r="G11" s="21"/>
      <c r="H11" s="21"/>
      <c r="I11" s="21"/>
      <c r="J11" s="21"/>
      <c r="K11" s="21"/>
    </row>
    <row r="12" spans="1:11">
      <c r="A12" s="21"/>
      <c r="B12" s="21"/>
      <c r="C12" s="21"/>
      <c r="D12" s="21"/>
      <c r="E12" s="21"/>
      <c r="F12" s="21"/>
      <c r="G12" s="21"/>
      <c r="H12" s="21"/>
      <c r="I12" s="21"/>
      <c r="J12" s="21"/>
      <c r="K12" s="21"/>
    </row>
    <row r="13" spans="1:11">
      <c r="A13" s="21"/>
      <c r="B13" s="21"/>
      <c r="C13" s="21"/>
      <c r="D13" s="21"/>
      <c r="E13" s="21"/>
      <c r="F13" s="21"/>
      <c r="G13" s="21"/>
      <c r="H13" s="21"/>
      <c r="I13" s="21"/>
      <c r="J13" s="21"/>
      <c r="K13" s="21"/>
    </row>
    <row r="14" spans="1:11">
      <c r="A14" s="21"/>
      <c r="B14" s="21"/>
      <c r="C14" s="21"/>
      <c r="D14" s="21"/>
      <c r="E14" s="21"/>
      <c r="F14" s="21"/>
      <c r="G14" s="21"/>
      <c r="H14" s="21"/>
      <c r="I14" s="21"/>
      <c r="J14" s="21"/>
      <c r="K14" s="21"/>
    </row>
    <row r="15" spans="1:11">
      <c r="A15" s="21"/>
      <c r="B15" s="21"/>
      <c r="C15" s="21"/>
      <c r="D15" s="21"/>
      <c r="E15" s="21"/>
      <c r="F15" s="21"/>
      <c r="G15" s="21"/>
      <c r="H15" s="21"/>
      <c r="I15" s="21"/>
      <c r="J15" s="21"/>
      <c r="K15" s="21"/>
    </row>
    <row r="16" spans="1:11">
      <c r="A16" s="21"/>
      <c r="B16" s="21"/>
      <c r="C16" s="21"/>
      <c r="D16" s="21"/>
      <c r="E16" s="21"/>
      <c r="F16" s="21"/>
      <c r="G16" s="21"/>
      <c r="H16" s="21"/>
      <c r="I16" s="21"/>
      <c r="J16" s="21"/>
      <c r="K16" s="21"/>
    </row>
    <row r="17" spans="1:11">
      <c r="A17" s="21"/>
      <c r="B17" s="21"/>
      <c r="C17" s="21"/>
      <c r="D17" s="21"/>
      <c r="E17" s="21"/>
      <c r="F17" s="21"/>
      <c r="G17" s="21"/>
      <c r="H17" s="21"/>
      <c r="I17" s="21"/>
      <c r="J17" s="21"/>
      <c r="K17" s="21"/>
    </row>
    <row r="18" spans="1:11">
      <c r="A18" s="21"/>
      <c r="B18" s="21"/>
      <c r="C18" s="21"/>
      <c r="D18" s="21"/>
      <c r="E18" s="21"/>
      <c r="F18" s="21"/>
      <c r="G18" s="21"/>
      <c r="H18" s="21"/>
      <c r="I18" s="21"/>
      <c r="J18" s="21"/>
      <c r="K18" s="21"/>
    </row>
    <row r="19" spans="1:11">
      <c r="A19" s="21"/>
      <c r="B19" s="21"/>
      <c r="C19" s="21"/>
      <c r="D19" s="21"/>
      <c r="E19" s="21"/>
      <c r="F19" s="21"/>
      <c r="G19" s="21"/>
      <c r="H19" s="21"/>
      <c r="I19" s="21"/>
      <c r="J19" s="21"/>
      <c r="K19" s="21"/>
    </row>
    <row r="20" spans="1:11">
      <c r="A20" s="21"/>
      <c r="B20" s="21"/>
      <c r="C20" s="21"/>
      <c r="D20" s="21"/>
      <c r="E20" s="21"/>
      <c r="F20" s="21"/>
      <c r="G20" s="21"/>
      <c r="H20" s="21"/>
      <c r="I20" s="21"/>
      <c r="J20" s="21"/>
      <c r="K20" s="21"/>
    </row>
    <row r="21" spans="1:11">
      <c r="A21" s="21"/>
      <c r="B21" s="21"/>
      <c r="C21" s="21"/>
      <c r="D21" s="21"/>
      <c r="E21" s="21"/>
      <c r="F21" s="21"/>
      <c r="G21" s="21"/>
      <c r="H21" s="21"/>
      <c r="I21" s="21"/>
      <c r="J21" s="21"/>
      <c r="K21" s="21"/>
    </row>
    <row r="22" spans="1:11">
      <c r="A22" s="21"/>
      <c r="B22" s="21"/>
      <c r="C22" s="21"/>
      <c r="D22" s="21"/>
      <c r="E22" s="21"/>
      <c r="F22" s="21"/>
      <c r="G22" s="21"/>
      <c r="H22" s="21"/>
      <c r="I22" s="21"/>
      <c r="J22" s="21"/>
      <c r="K22" s="21"/>
    </row>
    <row r="23" spans="1:11">
      <c r="A23" s="21"/>
      <c r="B23" s="21"/>
      <c r="C23" s="21"/>
      <c r="D23" s="21"/>
      <c r="E23" s="21"/>
      <c r="F23" s="21"/>
      <c r="G23" s="21"/>
      <c r="H23" s="21"/>
      <c r="I23" s="21"/>
      <c r="J23" s="21"/>
      <c r="K23" s="21"/>
    </row>
    <row r="24" spans="1:11">
      <c r="A24" s="21"/>
      <c r="B24" s="21"/>
      <c r="C24" s="21"/>
      <c r="D24" s="21"/>
      <c r="E24" s="21"/>
      <c r="F24" s="21"/>
      <c r="G24" s="21"/>
      <c r="H24" s="21"/>
      <c r="I24" s="21"/>
      <c r="J24" s="21"/>
      <c r="K24" s="21"/>
    </row>
    <row r="25" spans="1:11">
      <c r="A25" s="21"/>
      <c r="B25" s="21"/>
      <c r="C25" s="21"/>
      <c r="D25" s="21"/>
      <c r="E25" s="21"/>
      <c r="F25" s="21"/>
      <c r="G25" s="21"/>
      <c r="H25" s="21"/>
      <c r="I25" s="21"/>
      <c r="J25" s="21"/>
      <c r="K25" s="21"/>
    </row>
    <row r="26" spans="1:11">
      <c r="A26" s="21"/>
      <c r="B26" s="21"/>
      <c r="C26" s="21"/>
      <c r="D26" s="21"/>
      <c r="E26" s="21"/>
      <c r="F26" s="21"/>
      <c r="G26" s="21"/>
      <c r="H26" s="21"/>
      <c r="I26" s="21"/>
      <c r="J26" s="21"/>
      <c r="K26" s="21"/>
    </row>
    <row r="27" spans="1:11">
      <c r="A27" s="21"/>
      <c r="B27" s="21"/>
      <c r="C27" s="21"/>
      <c r="D27" s="21"/>
      <c r="E27" s="21"/>
      <c r="F27" s="21"/>
      <c r="G27" s="21"/>
      <c r="H27" s="21"/>
      <c r="I27" s="21"/>
      <c r="J27" s="21"/>
      <c r="K27" s="21"/>
    </row>
    <row r="28" spans="1:11">
      <c r="A28" s="21"/>
      <c r="B28" s="21"/>
      <c r="C28" s="21"/>
      <c r="D28" s="21"/>
      <c r="E28" s="21"/>
      <c r="F28" s="21"/>
      <c r="G28" s="21"/>
      <c r="H28" s="21"/>
      <c r="I28" s="21"/>
      <c r="J28" s="21"/>
      <c r="K28" s="21"/>
    </row>
    <row r="29" spans="1:11">
      <c r="A29" s="21"/>
      <c r="B29" s="21"/>
      <c r="C29" s="21"/>
      <c r="D29" s="21"/>
      <c r="E29" s="21"/>
      <c r="F29" s="21"/>
      <c r="G29" s="21"/>
      <c r="H29" s="21"/>
      <c r="I29" s="21"/>
      <c r="J29" s="21"/>
      <c r="K29" s="21"/>
    </row>
    <row r="30" spans="1:11">
      <c r="A30" s="21"/>
      <c r="B30" s="21"/>
      <c r="C30" s="21"/>
      <c r="D30" s="21"/>
      <c r="E30" s="21"/>
      <c r="F30" s="21"/>
      <c r="G30" s="21"/>
      <c r="H30" s="21"/>
      <c r="I30" s="21"/>
      <c r="J30" s="21"/>
      <c r="K30" s="21"/>
    </row>
    <row r="31" spans="1:11">
      <c r="A31" s="21"/>
      <c r="B31" s="21"/>
      <c r="C31" s="21"/>
      <c r="D31" s="21"/>
      <c r="E31" s="21"/>
      <c r="F31" s="21"/>
      <c r="G31" s="21"/>
      <c r="H31" s="21"/>
      <c r="I31" s="21"/>
      <c r="J31" s="21"/>
      <c r="K31" s="21"/>
    </row>
    <row r="32" spans="1:11">
      <c r="A32" s="21"/>
      <c r="B32" s="21"/>
      <c r="C32" s="21"/>
      <c r="D32" s="21"/>
      <c r="E32" s="21"/>
      <c r="F32" s="21"/>
      <c r="G32" s="21"/>
      <c r="H32" s="21"/>
      <c r="I32" s="21"/>
      <c r="J32" s="21"/>
      <c r="K32" s="21"/>
    </row>
    <row r="33" spans="1:11">
      <c r="A33" s="21"/>
      <c r="B33" s="21"/>
      <c r="C33" s="21"/>
      <c r="D33" s="21"/>
      <c r="E33" s="21"/>
      <c r="F33" s="21"/>
      <c r="G33" s="21"/>
      <c r="H33" s="21"/>
      <c r="I33" s="21"/>
      <c r="J33" s="21"/>
      <c r="K33" s="21"/>
    </row>
    <row r="34" spans="1:11">
      <c r="A34" s="21"/>
      <c r="B34" s="21"/>
      <c r="C34" s="21"/>
      <c r="D34" s="21"/>
      <c r="E34" s="21"/>
      <c r="F34" s="21"/>
      <c r="G34" s="21"/>
      <c r="H34" s="21"/>
      <c r="I34" s="21"/>
      <c r="J34" s="21"/>
      <c r="K34" s="21"/>
    </row>
    <row r="35" spans="1:11">
      <c r="A35" s="21"/>
      <c r="B35" s="21"/>
      <c r="C35" s="21"/>
      <c r="D35" s="21"/>
      <c r="E35" s="21"/>
      <c r="F35" s="21"/>
      <c r="G35" s="21"/>
      <c r="H35" s="21"/>
      <c r="I35" s="21"/>
      <c r="J35" s="21"/>
      <c r="K35" s="21"/>
    </row>
    <row r="36" spans="1:11">
      <c r="A36" s="21"/>
      <c r="B36" s="21"/>
      <c r="C36" s="21"/>
      <c r="D36" s="21"/>
      <c r="E36" s="21"/>
      <c r="F36" s="21"/>
      <c r="G36" s="21"/>
      <c r="H36" s="21"/>
      <c r="I36" s="21"/>
      <c r="J36" s="21"/>
      <c r="K36" s="21"/>
    </row>
    <row r="37" spans="1:11">
      <c r="A37" s="21"/>
      <c r="B37" s="21"/>
      <c r="C37" s="21"/>
      <c r="D37" s="21"/>
      <c r="E37" s="21"/>
      <c r="F37" s="21"/>
      <c r="G37" s="21"/>
      <c r="H37" s="21"/>
      <c r="I37" s="21"/>
      <c r="J37" s="21"/>
      <c r="K37" s="21"/>
    </row>
    <row r="38" spans="1:11">
      <c r="A38" s="21"/>
      <c r="B38" s="21"/>
      <c r="C38" s="21"/>
      <c r="D38" s="21"/>
      <c r="E38" s="21"/>
      <c r="F38" s="21"/>
      <c r="G38" s="21"/>
      <c r="H38" s="21"/>
      <c r="I38" s="21"/>
      <c r="J38" s="21"/>
      <c r="K38" s="21"/>
    </row>
    <row r="39" spans="1:11">
      <c r="A39" s="21"/>
      <c r="B39" s="21"/>
      <c r="C39" s="21"/>
      <c r="D39" s="21"/>
      <c r="E39" s="21"/>
      <c r="F39" s="21"/>
      <c r="G39" s="21"/>
      <c r="H39" s="21"/>
      <c r="I39" s="21"/>
      <c r="J39" s="21"/>
      <c r="K39" s="21"/>
    </row>
    <row r="40" spans="1:11">
      <c r="A40" s="21"/>
      <c r="B40" s="21"/>
      <c r="C40" s="21"/>
      <c r="D40" s="21"/>
      <c r="E40" s="21"/>
      <c r="F40" s="21"/>
      <c r="G40" s="21"/>
      <c r="H40" s="21"/>
      <c r="I40" s="21"/>
      <c r="J40" s="21"/>
      <c r="K40" s="21"/>
    </row>
    <row r="41" spans="1:11">
      <c r="A41" s="21"/>
      <c r="B41" s="21"/>
      <c r="C41" s="21"/>
      <c r="D41" s="21"/>
      <c r="E41" s="21"/>
      <c r="F41" s="21"/>
      <c r="G41" s="21"/>
      <c r="H41" s="21"/>
      <c r="I41" s="21"/>
      <c r="J41" s="21"/>
      <c r="K41" s="21"/>
    </row>
    <row r="42" spans="1:11">
      <c r="A42" s="21"/>
      <c r="B42" s="21"/>
      <c r="C42" s="21"/>
      <c r="D42" s="21"/>
      <c r="E42" s="21"/>
      <c r="F42" s="21"/>
      <c r="G42" s="21"/>
      <c r="H42" s="21"/>
      <c r="I42" s="21"/>
      <c r="J42" s="21"/>
      <c r="K42" s="21"/>
    </row>
    <row r="43" spans="1:11">
      <c r="A43" s="21"/>
      <c r="B43" s="21"/>
      <c r="C43" s="21"/>
      <c r="D43" s="21"/>
      <c r="E43" s="21"/>
      <c r="F43" s="21"/>
      <c r="G43" s="21"/>
      <c r="H43" s="21"/>
      <c r="I43" s="21"/>
      <c r="J43" s="21"/>
      <c r="K43" s="21"/>
    </row>
    <row r="44" spans="1:11">
      <c r="A44" s="21"/>
      <c r="B44" s="21"/>
      <c r="C44" s="21"/>
      <c r="D44" s="21"/>
      <c r="E44" s="21"/>
      <c r="F44" s="21"/>
      <c r="G44" s="21"/>
      <c r="H44" s="21"/>
      <c r="I44" s="21"/>
      <c r="J44" s="21"/>
      <c r="K44" s="21"/>
    </row>
    <row r="45" spans="1:11">
      <c r="A45" s="21"/>
      <c r="B45" s="21"/>
      <c r="C45" s="21"/>
      <c r="D45" s="21"/>
      <c r="E45" s="21"/>
      <c r="F45" s="21"/>
      <c r="G45" s="21"/>
      <c r="H45" s="21"/>
      <c r="I45" s="21"/>
      <c r="J45" s="21"/>
      <c r="K45" s="21"/>
    </row>
    <row r="46" spans="1:11">
      <c r="A46" s="21"/>
      <c r="B46" s="21"/>
      <c r="C46" s="21"/>
      <c r="D46" s="21"/>
      <c r="E46" s="21"/>
      <c r="F46" s="21"/>
      <c r="G46" s="21"/>
      <c r="H46" s="21"/>
      <c r="I46" s="21"/>
      <c r="J46" s="21"/>
      <c r="K46" s="21"/>
    </row>
    <row r="47" spans="1:11">
      <c r="A47" s="21"/>
      <c r="B47" s="21"/>
      <c r="C47" s="21"/>
      <c r="D47" s="21"/>
      <c r="E47" s="21"/>
      <c r="F47" s="21"/>
      <c r="G47" s="21"/>
      <c r="H47" s="21"/>
      <c r="I47" s="21"/>
      <c r="J47" s="21"/>
      <c r="K47" s="21"/>
    </row>
    <row r="48" spans="1:11">
      <c r="A48" s="21"/>
      <c r="B48" s="21"/>
      <c r="C48" s="21"/>
      <c r="D48" s="21"/>
      <c r="E48" s="21"/>
      <c r="F48" s="21"/>
      <c r="G48" s="21"/>
      <c r="H48" s="21"/>
      <c r="I48" s="21"/>
      <c r="J48" s="21"/>
      <c r="K48" s="21"/>
    </row>
    <row r="49" spans="1:11">
      <c r="A49" s="21"/>
      <c r="B49" s="21"/>
      <c r="C49" s="21"/>
      <c r="D49" s="21"/>
      <c r="E49" s="21"/>
      <c r="F49" s="21"/>
      <c r="G49" s="21"/>
      <c r="H49" s="21"/>
      <c r="I49" s="21"/>
      <c r="J49" s="21"/>
      <c r="K49" s="21"/>
    </row>
    <row r="50" spans="1:11">
      <c r="A50" s="21"/>
      <c r="B50" s="21"/>
      <c r="C50" s="21"/>
      <c r="D50" s="21"/>
      <c r="E50" s="21"/>
      <c r="F50" s="21"/>
      <c r="G50" s="21"/>
      <c r="H50" s="21"/>
      <c r="I50" s="21"/>
      <c r="J50" s="21"/>
      <c r="K50" s="21"/>
    </row>
    <row r="51" spans="1:11">
      <c r="A51" s="21"/>
      <c r="B51" s="21"/>
      <c r="C51" s="21"/>
      <c r="D51" s="21"/>
      <c r="E51" s="21"/>
      <c r="F51" s="21"/>
      <c r="G51" s="21"/>
      <c r="H51" s="21"/>
      <c r="I51" s="21"/>
      <c r="J51" s="21"/>
      <c r="K51" s="21"/>
    </row>
    <row r="52" spans="1:11">
      <c r="A52" s="21"/>
      <c r="B52" s="21"/>
      <c r="C52" s="21"/>
      <c r="D52" s="21"/>
      <c r="E52" s="21"/>
      <c r="F52" s="21"/>
      <c r="G52" s="21"/>
      <c r="H52" s="21"/>
      <c r="I52" s="21"/>
      <c r="J52" s="21"/>
      <c r="K52" s="21"/>
    </row>
    <row r="53" spans="1:11">
      <c r="A53" s="21"/>
      <c r="B53" s="21"/>
      <c r="C53" s="21"/>
      <c r="D53" s="21"/>
      <c r="E53" s="21"/>
      <c r="F53" s="21"/>
      <c r="G53" s="21"/>
      <c r="H53" s="21"/>
      <c r="I53" s="21"/>
      <c r="J53" s="21"/>
      <c r="K53" s="21"/>
    </row>
    <row r="54" spans="1:11">
      <c r="A54" s="21"/>
      <c r="B54" s="21"/>
      <c r="C54" s="21"/>
      <c r="D54" s="21"/>
      <c r="E54" s="21"/>
      <c r="F54" s="21"/>
      <c r="G54" s="21"/>
      <c r="H54" s="21"/>
      <c r="I54" s="21"/>
      <c r="J54" s="21"/>
      <c r="K54" s="21"/>
    </row>
    <row r="55" spans="1:11">
      <c r="A55" s="21"/>
      <c r="B55" s="21"/>
      <c r="C55" s="21"/>
      <c r="D55" s="21"/>
      <c r="E55" s="21"/>
      <c r="F55" s="21"/>
      <c r="G55" s="21"/>
      <c r="H55" s="21"/>
      <c r="I55" s="21"/>
      <c r="J55" s="21"/>
      <c r="K55" s="21"/>
    </row>
    <row r="56" spans="1:11">
      <c r="A56" s="21"/>
      <c r="B56" s="21"/>
      <c r="C56" s="21"/>
      <c r="D56" s="21"/>
      <c r="E56" s="21"/>
      <c r="F56" s="21"/>
      <c r="G56" s="21"/>
      <c r="H56" s="21"/>
      <c r="I56" s="21"/>
      <c r="J56" s="21"/>
      <c r="K56" s="21"/>
    </row>
    <row r="57" spans="1:11">
      <c r="A57" s="21"/>
      <c r="B57" s="21"/>
      <c r="C57" s="21"/>
      <c r="D57" s="21"/>
      <c r="E57" s="21"/>
      <c r="F57" s="21"/>
      <c r="G57" s="21"/>
      <c r="H57" s="21"/>
      <c r="I57" s="21"/>
      <c r="J57" s="21"/>
      <c r="K57" s="21"/>
    </row>
    <row r="58" spans="1:11">
      <c r="A58" s="21"/>
      <c r="B58" s="21"/>
      <c r="C58" s="21"/>
      <c r="D58" s="21"/>
      <c r="E58" s="21"/>
      <c r="F58" s="21"/>
      <c r="G58" s="21"/>
      <c r="H58" s="21"/>
      <c r="I58" s="21"/>
      <c r="J58" s="21"/>
      <c r="K58" s="21"/>
    </row>
    <row r="59" spans="1:11">
      <c r="A59" s="21"/>
      <c r="B59" s="21"/>
      <c r="C59" s="21"/>
      <c r="D59" s="21"/>
      <c r="E59" s="21"/>
      <c r="F59" s="21"/>
      <c r="G59" s="21"/>
      <c r="H59" s="21"/>
      <c r="I59" s="21"/>
      <c r="J59" s="21"/>
      <c r="K59" s="21"/>
    </row>
    <row r="60" spans="1:11">
      <c r="A60" s="21"/>
      <c r="B60" s="21"/>
      <c r="C60" s="21"/>
      <c r="D60" s="21"/>
      <c r="E60" s="21"/>
      <c r="F60" s="21"/>
      <c r="G60" s="21"/>
      <c r="H60" s="21"/>
      <c r="I60" s="21"/>
      <c r="J60" s="21"/>
      <c r="K60" s="21"/>
    </row>
    <row r="61" spans="1:11">
      <c r="A61" s="21"/>
      <c r="B61" s="21"/>
      <c r="C61" s="21"/>
      <c r="D61" s="21"/>
      <c r="E61" s="21"/>
      <c r="F61" s="21"/>
      <c r="G61" s="21"/>
      <c r="H61" s="21"/>
      <c r="I61" s="21"/>
      <c r="J61" s="21"/>
      <c r="K61" s="21"/>
    </row>
    <row r="62" spans="1:11">
      <c r="A62" s="21"/>
      <c r="B62" s="21"/>
      <c r="C62" s="21"/>
      <c r="D62" s="21"/>
      <c r="E62" s="21"/>
      <c r="F62" s="21"/>
      <c r="G62" s="21"/>
      <c r="H62" s="21"/>
      <c r="I62" s="21"/>
      <c r="J62" s="21"/>
      <c r="K62" s="21"/>
    </row>
    <row r="63" spans="1:11">
      <c r="A63" s="21"/>
      <c r="B63" s="21"/>
      <c r="C63" s="21"/>
      <c r="D63" s="21"/>
      <c r="E63" s="21"/>
      <c r="F63" s="21"/>
      <c r="G63" s="21"/>
      <c r="H63" s="21"/>
      <c r="I63" s="21"/>
      <c r="J63" s="21"/>
      <c r="K63" s="21"/>
    </row>
    <row r="64" spans="1:11">
      <c r="A64" s="21"/>
      <c r="B64" s="21"/>
      <c r="C64" s="21"/>
      <c r="D64" s="21"/>
      <c r="E64" s="21"/>
      <c r="F64" s="21"/>
      <c r="G64" s="21"/>
      <c r="H64" s="21"/>
      <c r="I64" s="21"/>
      <c r="J64" s="21"/>
      <c r="K64" s="21"/>
    </row>
    <row r="65" spans="1:11">
      <c r="A65" s="21"/>
      <c r="B65" s="21"/>
      <c r="C65" s="21"/>
      <c r="D65" s="21"/>
      <c r="E65" s="21"/>
      <c r="F65" s="21"/>
      <c r="G65" s="21"/>
      <c r="H65" s="21"/>
      <c r="I65" s="21"/>
      <c r="J65" s="21"/>
      <c r="K65" s="21"/>
    </row>
    <row r="66" spans="1:11">
      <c r="A66" s="21"/>
      <c r="B66" s="21"/>
      <c r="C66" s="21"/>
      <c r="D66" s="21"/>
      <c r="E66" s="21"/>
      <c r="F66" s="21"/>
      <c r="G66" s="21"/>
      <c r="H66" s="21"/>
      <c r="I66" s="21"/>
      <c r="J66" s="21"/>
      <c r="K66" s="21"/>
    </row>
    <row r="67" spans="1:11">
      <c r="A67" s="21"/>
      <c r="B67" s="21"/>
      <c r="C67" s="21"/>
      <c r="D67" s="21"/>
      <c r="E67" s="21"/>
      <c r="F67" s="21"/>
      <c r="G67" s="21"/>
      <c r="H67" s="21"/>
      <c r="I67" s="21"/>
      <c r="J67" s="21"/>
      <c r="K67" s="21"/>
    </row>
    <row r="68" spans="1:11">
      <c r="A68" s="21"/>
      <c r="B68" s="21"/>
      <c r="C68" s="21"/>
      <c r="D68" s="21"/>
      <c r="E68" s="21"/>
      <c r="F68" s="21"/>
      <c r="G68" s="21"/>
      <c r="H68" s="21"/>
      <c r="I68" s="21"/>
      <c r="J68" s="21"/>
      <c r="K68" s="21"/>
    </row>
    <row r="69" spans="1:11">
      <c r="A69" s="21"/>
      <c r="B69" s="21"/>
      <c r="C69" s="21"/>
      <c r="D69" s="21"/>
      <c r="E69" s="21"/>
      <c r="F69" s="21"/>
      <c r="G69" s="21"/>
      <c r="H69" s="21"/>
      <c r="I69" s="21"/>
      <c r="J69" s="21"/>
      <c r="K69" s="21"/>
    </row>
    <row r="70" spans="1:11">
      <c r="A70" s="21"/>
      <c r="B70" s="21"/>
      <c r="C70" s="21"/>
      <c r="D70" s="21"/>
      <c r="E70" s="21"/>
      <c r="F70" s="21"/>
      <c r="G70" s="21"/>
      <c r="H70" s="21"/>
      <c r="I70" s="21"/>
      <c r="J70" s="21"/>
      <c r="K70" s="21"/>
    </row>
    <row r="71" spans="1:11">
      <c r="A71" s="21"/>
      <c r="B71" s="21"/>
      <c r="C71" s="21"/>
      <c r="D71" s="21"/>
      <c r="E71" s="21"/>
      <c r="F71" s="21"/>
      <c r="G71" s="21"/>
      <c r="H71" s="21"/>
      <c r="I71" s="21"/>
      <c r="J71" s="21"/>
      <c r="K71" s="21"/>
    </row>
    <row r="72" spans="1:11">
      <c r="A72" s="21"/>
      <c r="B72" s="21"/>
      <c r="C72" s="21"/>
      <c r="D72" s="21"/>
      <c r="E72" s="21"/>
      <c r="F72" s="21"/>
      <c r="G72" s="21"/>
      <c r="H72" s="21"/>
      <c r="I72" s="21"/>
      <c r="J72" s="21"/>
      <c r="K72" s="21"/>
    </row>
    <row r="73" spans="1:11">
      <c r="A73" s="21"/>
      <c r="B73" s="21"/>
      <c r="C73" s="21"/>
      <c r="D73" s="21"/>
      <c r="E73" s="21"/>
      <c r="F73" s="21"/>
      <c r="G73" s="21"/>
      <c r="H73" s="21"/>
      <c r="I73" s="21"/>
      <c r="J73" s="21"/>
      <c r="K73" s="21"/>
    </row>
    <row r="74" spans="1:11">
      <c r="A74" s="21"/>
      <c r="B74" s="21"/>
      <c r="C74" s="21"/>
      <c r="D74" s="21"/>
      <c r="E74" s="21"/>
      <c r="F74" s="21"/>
      <c r="G74" s="21"/>
      <c r="H74" s="21"/>
      <c r="I74" s="21"/>
      <c r="J74" s="21"/>
      <c r="K74" s="21"/>
    </row>
    <row r="75" spans="1:11">
      <c r="A75" s="21"/>
      <c r="B75" s="21"/>
      <c r="C75" s="21"/>
      <c r="D75" s="21"/>
      <c r="E75" s="21"/>
      <c r="F75" s="21"/>
      <c r="G75" s="21"/>
      <c r="H75" s="21"/>
      <c r="I75" s="21"/>
      <c r="J75" s="21"/>
      <c r="K75" s="21"/>
    </row>
    <row r="76" spans="1:11">
      <c r="A76" s="21"/>
      <c r="B76" s="21"/>
      <c r="C76" s="21"/>
      <c r="D76" s="21"/>
      <c r="E76" s="21"/>
      <c r="F76" s="21"/>
      <c r="G76" s="21"/>
      <c r="H76" s="21"/>
      <c r="I76" s="21"/>
      <c r="J76" s="21"/>
      <c r="K76" s="21"/>
    </row>
    <row r="77" spans="1:11">
      <c r="A77" s="21"/>
      <c r="B77" s="21"/>
      <c r="C77" s="21"/>
      <c r="D77" s="21"/>
      <c r="E77" s="21"/>
      <c r="F77" s="21"/>
      <c r="G77" s="21"/>
      <c r="H77" s="21"/>
      <c r="I77" s="21"/>
      <c r="J77" s="21"/>
      <c r="K77" s="21"/>
    </row>
    <row r="78" spans="1:11">
      <c r="A78" s="21"/>
      <c r="B78" s="21"/>
      <c r="C78" s="21"/>
      <c r="D78" s="21"/>
      <c r="E78" s="21"/>
      <c r="F78" s="21"/>
      <c r="G78" s="21"/>
      <c r="H78" s="21"/>
      <c r="I78" s="21"/>
      <c r="J78" s="21"/>
      <c r="K78" s="21"/>
    </row>
    <row r="79" spans="1:11">
      <c r="A79" s="21"/>
      <c r="B79" s="21"/>
      <c r="C79" s="21"/>
      <c r="D79" s="21"/>
      <c r="E79" s="21"/>
      <c r="F79" s="21"/>
      <c r="G79" s="21"/>
      <c r="H79" s="21"/>
      <c r="I79" s="21"/>
      <c r="J79" s="21"/>
      <c r="K79" s="21"/>
    </row>
    <row r="80" spans="1:11">
      <c r="A80" s="21"/>
      <c r="B80" s="21"/>
      <c r="C80" s="21"/>
      <c r="D80" s="21"/>
      <c r="E80" s="21"/>
      <c r="F80" s="21"/>
      <c r="G80" s="21"/>
      <c r="H80" s="21"/>
      <c r="I80" s="21"/>
      <c r="J80" s="21"/>
      <c r="K80" s="21"/>
    </row>
    <row r="81" spans="1:11">
      <c r="A81" s="21"/>
      <c r="B81" s="21"/>
      <c r="C81" s="21"/>
      <c r="D81" s="21"/>
      <c r="E81" s="21"/>
      <c r="F81" s="21"/>
      <c r="G81" s="21"/>
      <c r="H81" s="21"/>
      <c r="I81" s="21"/>
      <c r="J81" s="21"/>
      <c r="K81" s="21"/>
    </row>
    <row r="82" spans="1:11">
      <c r="A82" s="21"/>
      <c r="B82" s="21"/>
      <c r="C82" s="21"/>
      <c r="D82" s="21"/>
      <c r="E82" s="21"/>
      <c r="F82" s="21"/>
      <c r="G82" s="21"/>
      <c r="H82" s="21"/>
      <c r="I82" s="21"/>
      <c r="J82" s="21"/>
      <c r="K82" s="21"/>
    </row>
    <row r="83" spans="1:11">
      <c r="A83" s="21"/>
      <c r="B83" s="21"/>
      <c r="C83" s="21"/>
      <c r="D83" s="21"/>
      <c r="E83" s="21"/>
      <c r="F83" s="21"/>
      <c r="G83" s="21"/>
      <c r="H83" s="21"/>
      <c r="I83" s="21"/>
      <c r="J83" s="21"/>
      <c r="K83" s="21"/>
    </row>
    <row r="84" spans="1:11">
      <c r="A84" s="21"/>
      <c r="B84" s="21"/>
      <c r="C84" s="21"/>
      <c r="D84" s="21"/>
      <c r="E84" s="21"/>
      <c r="F84" s="21"/>
      <c r="G84" s="21"/>
      <c r="H84" s="21"/>
      <c r="I84" s="21"/>
      <c r="J84" s="21"/>
      <c r="K84" s="21"/>
    </row>
    <row r="85" spans="1:11">
      <c r="A85" s="21"/>
      <c r="B85" s="21"/>
      <c r="C85" s="21"/>
      <c r="D85" s="21"/>
      <c r="E85" s="21"/>
      <c r="F85" s="21"/>
      <c r="G85" s="21"/>
      <c r="H85" s="21"/>
      <c r="I85" s="21"/>
      <c r="J85" s="21"/>
      <c r="K85" s="21"/>
    </row>
    <row r="86" spans="1:11">
      <c r="A86" s="21"/>
      <c r="B86" s="21"/>
      <c r="C86" s="21"/>
      <c r="D86" s="21"/>
      <c r="E86" s="21"/>
      <c r="F86" s="21"/>
      <c r="G86" s="21"/>
      <c r="H86" s="21"/>
      <c r="I86" s="21"/>
      <c r="J86" s="21"/>
      <c r="K86" s="21"/>
    </row>
    <row r="87" spans="1:11">
      <c r="A87" s="21"/>
      <c r="B87" s="21"/>
      <c r="C87" s="21"/>
      <c r="D87" s="21"/>
      <c r="E87" s="21"/>
      <c r="F87" s="21"/>
      <c r="G87" s="21"/>
      <c r="H87" s="21"/>
      <c r="I87" s="21"/>
      <c r="J87" s="21"/>
      <c r="K87" s="21"/>
    </row>
    <row r="88" spans="1:11">
      <c r="A88" s="21"/>
      <c r="B88" s="21"/>
      <c r="C88" s="21"/>
      <c r="D88" s="21"/>
      <c r="E88" s="21"/>
      <c r="F88" s="21"/>
      <c r="G88" s="21"/>
      <c r="H88" s="21"/>
      <c r="I88" s="21"/>
      <c r="J88" s="21"/>
      <c r="K88" s="21"/>
    </row>
    <row r="89" spans="1:11">
      <c r="A89" s="21"/>
      <c r="B89" s="21"/>
      <c r="C89" s="21"/>
      <c r="D89" s="21"/>
      <c r="E89" s="21"/>
      <c r="F89" s="21"/>
      <c r="G89" s="21"/>
      <c r="H89" s="21"/>
      <c r="I89" s="21"/>
      <c r="J89" s="21"/>
      <c r="K89" s="21"/>
    </row>
    <row r="90" spans="1:11">
      <c r="A90" s="21"/>
      <c r="B90" s="21"/>
      <c r="C90" s="21"/>
      <c r="D90" s="21"/>
      <c r="E90" s="21"/>
      <c r="F90" s="21"/>
      <c r="G90" s="21"/>
      <c r="H90" s="21"/>
      <c r="I90" s="21"/>
      <c r="J90" s="21"/>
      <c r="K90" s="21"/>
    </row>
    <row r="91" spans="1:11">
      <c r="A91" s="21"/>
      <c r="B91" s="21"/>
      <c r="C91" s="21"/>
      <c r="D91" s="21"/>
      <c r="E91" s="21"/>
      <c r="F91" s="21"/>
      <c r="G91" s="21"/>
      <c r="H91" s="21"/>
      <c r="I91" s="21"/>
      <c r="J91" s="21"/>
      <c r="K91" s="21"/>
    </row>
    <row r="92" spans="1:11">
      <c r="A92" s="21"/>
      <c r="B92" s="21"/>
      <c r="C92" s="21"/>
      <c r="D92" s="21"/>
      <c r="E92" s="21"/>
      <c r="F92" s="21"/>
      <c r="G92" s="21"/>
      <c r="H92" s="21"/>
      <c r="I92" s="21"/>
      <c r="J92" s="21"/>
      <c r="K92" s="21"/>
    </row>
    <row r="93" spans="1:11">
      <c r="A93" s="21"/>
      <c r="B93" s="21"/>
      <c r="C93" s="21"/>
      <c r="D93" s="21"/>
      <c r="E93" s="21"/>
      <c r="F93" s="21"/>
      <c r="G93" s="21"/>
      <c r="H93" s="21"/>
      <c r="I93" s="21"/>
      <c r="J93" s="21"/>
      <c r="K93" s="21"/>
    </row>
    <row r="94" spans="1:11">
      <c r="A94" s="21"/>
      <c r="B94" s="21"/>
      <c r="C94" s="21"/>
      <c r="D94" s="21"/>
      <c r="E94" s="21"/>
      <c r="F94" s="21"/>
      <c r="G94" s="21"/>
      <c r="H94" s="21"/>
      <c r="I94" s="21"/>
      <c r="J94" s="21"/>
      <c r="K94" s="21"/>
    </row>
  </sheetData>
  <sheetProtection formatColumns="0" formatRows="0" insertColumns="0" insertRows="0"/>
  <printOptions horizontalCentered="1"/>
  <pageMargins left="0.25" right="0.25" top="0.75" bottom="0.75" header="0.3" footer="0.3"/>
  <pageSetup orientation="portrait" r:id="rId1"/>
  <headerFooter scaleWithDoc="0">
    <oddHeader>&amp;C&amp;"-,Bold"&amp;20Lease Rate Comps</oddHead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3233" r:id="rId4" name="Button 1">
              <controlPr defaultSize="0" print="0" autoFill="0" autoPict="0" macro="[0]!PasteImageWithBorder_ExtraPage">
                <anchor moveWithCells="1" sizeWithCells="1">
                  <from>
                    <xdr:col>12</xdr:col>
                    <xdr:colOff>312420</xdr:colOff>
                    <xdr:row>3</xdr:row>
                    <xdr:rowOff>0</xdr:rowOff>
                  </from>
                  <to>
                    <xdr:col>15</xdr:col>
                    <xdr:colOff>304800</xdr:colOff>
                    <xdr:row>6</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28EFD-53E0-4CAC-BA83-E56E59BDE8B4}">
  <sheetPr codeName="Sheet18">
    <tabColor theme="9" tint="-0.249977111117893"/>
  </sheetPr>
  <dimension ref="A1:K94"/>
  <sheetViews>
    <sheetView view="pageLayout" zoomScale="115" zoomScaleNormal="115" zoomScaleSheetLayoutView="130" zoomScalePageLayoutView="115" workbookViewId="0">
      <selection activeCell="E7" sqref="E7:I7"/>
    </sheetView>
  </sheetViews>
  <sheetFormatPr defaultRowHeight="14.4"/>
  <cols>
    <col min="1" max="1" width="9.6640625" customWidth="1"/>
    <col min="11" max="11" width="9.6640625" customWidth="1"/>
  </cols>
  <sheetData>
    <row r="1" spans="1:11">
      <c r="A1" s="21"/>
      <c r="B1" s="21"/>
      <c r="C1" s="21"/>
      <c r="D1" s="21"/>
      <c r="E1" s="21"/>
      <c r="F1" s="21"/>
      <c r="G1" s="21"/>
      <c r="H1" s="21"/>
      <c r="I1" s="21"/>
      <c r="J1" s="21"/>
      <c r="K1" s="21"/>
    </row>
    <row r="2" spans="1:11">
      <c r="A2" s="21"/>
      <c r="B2" s="21"/>
      <c r="C2" s="21"/>
      <c r="D2" s="21"/>
      <c r="E2" s="21"/>
      <c r="F2" s="21"/>
      <c r="G2" s="21"/>
      <c r="H2" s="21"/>
      <c r="I2" s="21"/>
      <c r="J2" s="21"/>
      <c r="K2" s="21"/>
    </row>
    <row r="3" spans="1:11">
      <c r="A3" s="21"/>
      <c r="B3" s="21"/>
      <c r="C3" s="21"/>
      <c r="D3" s="21"/>
      <c r="E3" s="21"/>
      <c r="F3" s="21"/>
      <c r="G3" s="21"/>
      <c r="H3" s="21"/>
      <c r="I3" s="21"/>
      <c r="J3" s="21"/>
      <c r="K3" s="21"/>
    </row>
    <row r="4" spans="1:11">
      <c r="A4" s="21"/>
      <c r="B4" s="21"/>
      <c r="C4" s="21"/>
      <c r="D4" s="21"/>
      <c r="E4" s="21"/>
      <c r="F4" s="21"/>
      <c r="G4" s="21"/>
      <c r="H4" s="21"/>
      <c r="I4" s="21"/>
      <c r="J4" s="21"/>
      <c r="K4" s="21"/>
    </row>
    <row r="5" spans="1:11">
      <c r="A5" s="21"/>
      <c r="B5" s="21"/>
      <c r="C5" s="21"/>
      <c r="D5" s="21"/>
      <c r="E5" s="21"/>
      <c r="F5" s="21"/>
      <c r="G5" s="21"/>
      <c r="H5" s="21"/>
      <c r="I5" s="21"/>
      <c r="J5" s="21"/>
      <c r="K5" s="21"/>
    </row>
    <row r="6" spans="1:11">
      <c r="A6" s="21"/>
      <c r="B6" s="21"/>
      <c r="C6" s="21"/>
      <c r="D6" s="21"/>
      <c r="E6" s="21"/>
      <c r="F6" s="21"/>
      <c r="G6" s="21"/>
      <c r="H6" s="21"/>
      <c r="I6" s="21"/>
      <c r="J6" s="21"/>
      <c r="K6" s="21"/>
    </row>
    <row r="7" spans="1:11">
      <c r="A7" s="21"/>
      <c r="B7" s="21"/>
      <c r="C7" s="21"/>
      <c r="D7" s="21"/>
      <c r="E7" s="21"/>
      <c r="F7" s="21"/>
      <c r="G7" s="21"/>
      <c r="H7" s="21"/>
      <c r="I7" s="21"/>
      <c r="J7" s="21"/>
      <c r="K7" s="21"/>
    </row>
    <row r="8" spans="1:11">
      <c r="A8" s="21"/>
      <c r="B8" s="21"/>
      <c r="C8" s="21"/>
      <c r="D8" s="21"/>
      <c r="E8" s="21"/>
      <c r="F8" s="21"/>
      <c r="G8" s="21"/>
      <c r="H8" s="21"/>
      <c r="I8" s="21"/>
      <c r="J8" s="21"/>
      <c r="K8" s="21"/>
    </row>
    <row r="9" spans="1:11">
      <c r="A9" s="21"/>
      <c r="B9" s="21"/>
      <c r="C9" s="21"/>
      <c r="D9" s="21"/>
      <c r="E9" s="21"/>
      <c r="F9" s="21"/>
      <c r="G9" s="21"/>
      <c r="H9" s="21"/>
      <c r="I9" s="21"/>
      <c r="J9" s="21"/>
      <c r="K9" s="21"/>
    </row>
    <row r="10" spans="1:11">
      <c r="A10" s="21"/>
      <c r="B10" s="21"/>
      <c r="C10" s="21"/>
      <c r="D10" s="21"/>
      <c r="E10" s="21"/>
      <c r="F10" s="21"/>
      <c r="G10" s="21"/>
      <c r="H10" s="21"/>
      <c r="I10" s="21"/>
      <c r="J10" s="21"/>
      <c r="K10" s="21"/>
    </row>
    <row r="11" spans="1:11">
      <c r="A11" s="21"/>
      <c r="B11" s="21"/>
      <c r="C11" s="21"/>
      <c r="D11" s="21"/>
      <c r="E11" s="21"/>
      <c r="F11" s="21"/>
      <c r="G11" s="21"/>
      <c r="H11" s="21"/>
      <c r="I11" s="21"/>
      <c r="J11" s="21"/>
      <c r="K11" s="21"/>
    </row>
    <row r="12" spans="1:11">
      <c r="A12" s="21"/>
      <c r="B12" s="21"/>
      <c r="C12" s="21"/>
      <c r="D12" s="21"/>
      <c r="E12" s="21"/>
      <c r="F12" s="21"/>
      <c r="G12" s="21"/>
      <c r="H12" s="21"/>
      <c r="I12" s="21"/>
      <c r="J12" s="21"/>
      <c r="K12" s="21"/>
    </row>
    <row r="13" spans="1:11">
      <c r="A13" s="21"/>
      <c r="B13" s="21"/>
      <c r="C13" s="21"/>
      <c r="D13" s="21"/>
      <c r="E13" s="21"/>
      <c r="F13" s="21"/>
      <c r="G13" s="21"/>
      <c r="H13" s="21"/>
      <c r="I13" s="21"/>
      <c r="J13" s="21"/>
      <c r="K13" s="21"/>
    </row>
    <row r="14" spans="1:11">
      <c r="A14" s="21"/>
      <c r="B14" s="21"/>
      <c r="C14" s="21"/>
      <c r="D14" s="21"/>
      <c r="E14" s="21"/>
      <c r="F14" s="21"/>
      <c r="G14" s="21"/>
      <c r="H14" s="21"/>
      <c r="I14" s="21"/>
      <c r="J14" s="21"/>
      <c r="K14" s="21"/>
    </row>
    <row r="15" spans="1:11">
      <c r="A15" s="21"/>
      <c r="B15" s="21"/>
      <c r="C15" s="21"/>
      <c r="D15" s="21"/>
      <c r="E15" s="21"/>
      <c r="F15" s="21"/>
      <c r="G15" s="21"/>
      <c r="H15" s="21"/>
      <c r="I15" s="21"/>
      <c r="J15" s="21"/>
      <c r="K15" s="21"/>
    </row>
    <row r="16" spans="1:11">
      <c r="A16" s="21"/>
      <c r="B16" s="21"/>
      <c r="C16" s="21"/>
      <c r="D16" s="21"/>
      <c r="E16" s="21"/>
      <c r="F16" s="21"/>
      <c r="G16" s="21"/>
      <c r="H16" s="21"/>
      <c r="I16" s="21"/>
      <c r="J16" s="21"/>
      <c r="K16" s="21"/>
    </row>
    <row r="17" spans="1:11">
      <c r="A17" s="21"/>
      <c r="B17" s="21"/>
      <c r="C17" s="21"/>
      <c r="D17" s="21"/>
      <c r="E17" s="21"/>
      <c r="F17" s="21"/>
      <c r="G17" s="21"/>
      <c r="H17" s="21"/>
      <c r="I17" s="21"/>
      <c r="J17" s="21"/>
      <c r="K17" s="21"/>
    </row>
    <row r="18" spans="1:11">
      <c r="A18" s="21"/>
      <c r="B18" s="21"/>
      <c r="C18" s="21"/>
      <c r="D18" s="21"/>
      <c r="E18" s="21"/>
      <c r="F18" s="21"/>
      <c r="G18" s="21"/>
      <c r="H18" s="21"/>
      <c r="I18" s="21"/>
      <c r="J18" s="21"/>
      <c r="K18" s="21"/>
    </row>
    <row r="19" spans="1:11">
      <c r="A19" s="21"/>
      <c r="B19" s="21"/>
      <c r="C19" s="21"/>
      <c r="D19" s="21"/>
      <c r="E19" s="21"/>
      <c r="F19" s="21"/>
      <c r="G19" s="21"/>
      <c r="H19" s="21"/>
      <c r="I19" s="21"/>
      <c r="J19" s="21"/>
      <c r="K19" s="21"/>
    </row>
    <row r="20" spans="1:11">
      <c r="A20" s="21"/>
      <c r="B20" s="21"/>
      <c r="C20" s="21"/>
      <c r="D20" s="21"/>
      <c r="E20" s="21"/>
      <c r="F20" s="21"/>
      <c r="G20" s="21"/>
      <c r="H20" s="21"/>
      <c r="I20" s="21"/>
      <c r="J20" s="21"/>
      <c r="K20" s="21"/>
    </row>
    <row r="21" spans="1:11">
      <c r="A21" s="21"/>
      <c r="B21" s="21"/>
      <c r="C21" s="21"/>
      <c r="D21" s="21"/>
      <c r="E21" s="21"/>
      <c r="F21" s="21"/>
      <c r="G21" s="21"/>
      <c r="H21" s="21"/>
      <c r="I21" s="21"/>
      <c r="J21" s="21"/>
      <c r="K21" s="21"/>
    </row>
    <row r="22" spans="1:11">
      <c r="A22" s="21"/>
      <c r="B22" s="21"/>
      <c r="C22" s="21"/>
      <c r="D22" s="21"/>
      <c r="E22" s="21"/>
      <c r="F22" s="21"/>
      <c r="G22" s="21"/>
      <c r="H22" s="21"/>
      <c r="I22" s="21"/>
      <c r="J22" s="21"/>
      <c r="K22" s="21"/>
    </row>
    <row r="23" spans="1:11">
      <c r="A23" s="21"/>
      <c r="B23" s="21"/>
      <c r="C23" s="21"/>
      <c r="D23" s="21"/>
      <c r="E23" s="21"/>
      <c r="F23" s="21"/>
      <c r="G23" s="21"/>
      <c r="H23" s="21"/>
      <c r="I23" s="21"/>
      <c r="J23" s="21"/>
      <c r="K23" s="21"/>
    </row>
    <row r="24" spans="1:11">
      <c r="A24" s="21"/>
      <c r="B24" s="21"/>
      <c r="C24" s="21"/>
      <c r="D24" s="21"/>
      <c r="E24" s="21"/>
      <c r="F24" s="21"/>
      <c r="G24" s="21"/>
      <c r="H24" s="21"/>
      <c r="I24" s="21"/>
      <c r="J24" s="21"/>
      <c r="K24" s="21"/>
    </row>
    <row r="25" spans="1:11">
      <c r="A25" s="21"/>
      <c r="B25" s="21"/>
      <c r="C25" s="21"/>
      <c r="D25" s="21"/>
      <c r="E25" s="21"/>
      <c r="F25" s="21"/>
      <c r="G25" s="21"/>
      <c r="H25" s="21"/>
      <c r="I25" s="21"/>
      <c r="J25" s="21"/>
      <c r="K25" s="21"/>
    </row>
    <row r="26" spans="1:11">
      <c r="A26" s="21"/>
      <c r="B26" s="21"/>
      <c r="C26" s="21"/>
      <c r="D26" s="21"/>
      <c r="E26" s="21"/>
      <c r="F26" s="21"/>
      <c r="G26" s="21"/>
      <c r="H26" s="21"/>
      <c r="I26" s="21"/>
      <c r="J26" s="21"/>
      <c r="K26" s="21"/>
    </row>
    <row r="27" spans="1:11">
      <c r="A27" s="21"/>
      <c r="B27" s="21"/>
      <c r="C27" s="21"/>
      <c r="D27" s="21"/>
      <c r="E27" s="21"/>
      <c r="F27" s="21"/>
      <c r="G27" s="21"/>
      <c r="H27" s="21"/>
      <c r="I27" s="21"/>
      <c r="J27" s="21"/>
      <c r="K27" s="21"/>
    </row>
    <row r="28" spans="1:11">
      <c r="A28" s="21"/>
      <c r="B28" s="21"/>
      <c r="C28" s="21"/>
      <c r="D28" s="21"/>
      <c r="E28" s="21"/>
      <c r="F28" s="21"/>
      <c r="G28" s="21"/>
      <c r="H28" s="21"/>
      <c r="I28" s="21"/>
      <c r="J28" s="21"/>
      <c r="K28" s="21"/>
    </row>
    <row r="29" spans="1:11">
      <c r="A29" s="21"/>
      <c r="B29" s="21"/>
      <c r="C29" s="21"/>
      <c r="D29" s="21"/>
      <c r="E29" s="21"/>
      <c r="F29" s="21"/>
      <c r="G29" s="21"/>
      <c r="H29" s="21"/>
      <c r="I29" s="21"/>
      <c r="J29" s="21"/>
      <c r="K29" s="21"/>
    </row>
    <row r="30" spans="1:11">
      <c r="A30" s="21"/>
      <c r="B30" s="21"/>
      <c r="C30" s="21"/>
      <c r="D30" s="21"/>
      <c r="E30" s="21"/>
      <c r="F30" s="21"/>
      <c r="G30" s="21"/>
      <c r="H30" s="21"/>
      <c r="I30" s="21"/>
      <c r="J30" s="21"/>
      <c r="K30" s="21"/>
    </row>
    <row r="31" spans="1:11">
      <c r="A31" s="21"/>
      <c r="B31" s="21"/>
      <c r="C31" s="21"/>
      <c r="D31" s="21"/>
      <c r="E31" s="21"/>
      <c r="F31" s="21"/>
      <c r="G31" s="21"/>
      <c r="H31" s="21"/>
      <c r="I31" s="21"/>
      <c r="J31" s="21"/>
      <c r="K31" s="21"/>
    </row>
    <row r="32" spans="1:11">
      <c r="A32" s="21"/>
      <c r="B32" s="21"/>
      <c r="C32" s="21"/>
      <c r="D32" s="21"/>
      <c r="E32" s="21"/>
      <c r="F32" s="21"/>
      <c r="G32" s="21"/>
      <c r="H32" s="21"/>
      <c r="I32" s="21"/>
      <c r="J32" s="21"/>
      <c r="K32" s="21"/>
    </row>
    <row r="33" spans="1:11">
      <c r="A33" s="21"/>
      <c r="B33" s="21"/>
      <c r="C33" s="21"/>
      <c r="D33" s="21"/>
      <c r="E33" s="21"/>
      <c r="F33" s="21"/>
      <c r="G33" s="21"/>
      <c r="H33" s="21"/>
      <c r="I33" s="21"/>
      <c r="J33" s="21"/>
      <c r="K33" s="21"/>
    </row>
    <row r="34" spans="1:11">
      <c r="A34" s="21"/>
      <c r="B34" s="21"/>
      <c r="C34" s="21"/>
      <c r="D34" s="21"/>
      <c r="E34" s="21"/>
      <c r="F34" s="21"/>
      <c r="G34" s="21"/>
      <c r="H34" s="21"/>
      <c r="I34" s="21"/>
      <c r="J34" s="21"/>
      <c r="K34" s="21"/>
    </row>
    <row r="35" spans="1:11">
      <c r="A35" s="21"/>
      <c r="B35" s="21"/>
      <c r="C35" s="21"/>
      <c r="D35" s="21"/>
      <c r="E35" s="21"/>
      <c r="F35" s="21"/>
      <c r="G35" s="21"/>
      <c r="H35" s="21"/>
      <c r="I35" s="21"/>
      <c r="J35" s="21"/>
      <c r="K35" s="21"/>
    </row>
    <row r="36" spans="1:11">
      <c r="A36" s="21"/>
      <c r="B36" s="21"/>
      <c r="C36" s="21"/>
      <c r="D36" s="21"/>
      <c r="E36" s="21"/>
      <c r="F36" s="21"/>
      <c r="G36" s="21"/>
      <c r="H36" s="21"/>
      <c r="I36" s="21"/>
      <c r="J36" s="21"/>
      <c r="K36" s="21"/>
    </row>
    <row r="37" spans="1:11">
      <c r="A37" s="21"/>
      <c r="B37" s="21"/>
      <c r="C37" s="21"/>
      <c r="D37" s="21"/>
      <c r="E37" s="21"/>
      <c r="F37" s="21"/>
      <c r="G37" s="21"/>
      <c r="H37" s="21"/>
      <c r="I37" s="21"/>
      <c r="J37" s="21"/>
      <c r="K37" s="21"/>
    </row>
    <row r="38" spans="1:11">
      <c r="A38" s="21"/>
      <c r="B38" s="21"/>
      <c r="C38" s="21"/>
      <c r="D38" s="21"/>
      <c r="E38" s="21"/>
      <c r="F38" s="21"/>
      <c r="G38" s="21"/>
      <c r="H38" s="21"/>
      <c r="I38" s="21"/>
      <c r="J38" s="21"/>
      <c r="K38" s="21"/>
    </row>
    <row r="39" spans="1:11">
      <c r="A39" s="21"/>
      <c r="B39" s="21"/>
      <c r="C39" s="21"/>
      <c r="D39" s="21"/>
      <c r="E39" s="21"/>
      <c r="F39" s="21"/>
      <c r="G39" s="21"/>
      <c r="H39" s="21"/>
      <c r="I39" s="21"/>
      <c r="J39" s="21"/>
      <c r="K39" s="21"/>
    </row>
    <row r="40" spans="1:11">
      <c r="A40" s="21"/>
      <c r="B40" s="21"/>
      <c r="C40" s="21"/>
      <c r="D40" s="21"/>
      <c r="E40" s="21"/>
      <c r="F40" s="21"/>
      <c r="G40" s="21"/>
      <c r="H40" s="21"/>
      <c r="I40" s="21"/>
      <c r="J40" s="21"/>
      <c r="K40" s="21"/>
    </row>
    <row r="41" spans="1:11">
      <c r="A41" s="21"/>
      <c r="B41" s="21"/>
      <c r="C41" s="21"/>
      <c r="D41" s="21"/>
      <c r="E41" s="21"/>
      <c r="F41" s="21"/>
      <c r="G41" s="21"/>
      <c r="H41" s="21"/>
      <c r="I41" s="21"/>
      <c r="J41" s="21"/>
      <c r="K41" s="21"/>
    </row>
    <row r="42" spans="1:11">
      <c r="A42" s="21"/>
      <c r="B42" s="21"/>
      <c r="C42" s="21"/>
      <c r="D42" s="21"/>
      <c r="E42" s="21"/>
      <c r="F42" s="21"/>
      <c r="G42" s="21"/>
      <c r="H42" s="21"/>
      <c r="I42" s="21"/>
      <c r="J42" s="21"/>
      <c r="K42" s="21"/>
    </row>
    <row r="43" spans="1:11">
      <c r="A43" s="21"/>
      <c r="B43" s="21"/>
      <c r="C43" s="21"/>
      <c r="D43" s="21"/>
      <c r="E43" s="21"/>
      <c r="F43" s="21"/>
      <c r="G43" s="21"/>
      <c r="H43" s="21"/>
      <c r="I43" s="21"/>
      <c r="J43" s="21"/>
      <c r="K43" s="21"/>
    </row>
    <row r="44" spans="1:11">
      <c r="A44" s="21"/>
      <c r="B44" s="21"/>
      <c r="C44" s="21"/>
      <c r="D44" s="21"/>
      <c r="E44" s="21"/>
      <c r="F44" s="21"/>
      <c r="G44" s="21"/>
      <c r="H44" s="21"/>
      <c r="I44" s="21"/>
      <c r="J44" s="21"/>
      <c r="K44" s="21"/>
    </row>
    <row r="45" spans="1:11">
      <c r="A45" s="21"/>
      <c r="B45" s="21"/>
      <c r="C45" s="21"/>
      <c r="D45" s="21"/>
      <c r="E45" s="21"/>
      <c r="F45" s="21"/>
      <c r="G45" s="21"/>
      <c r="H45" s="21"/>
      <c r="I45" s="21"/>
      <c r="J45" s="21"/>
      <c r="K45" s="21"/>
    </row>
    <row r="46" spans="1:11">
      <c r="A46" s="21"/>
      <c r="B46" s="21"/>
      <c r="C46" s="21"/>
      <c r="D46" s="21"/>
      <c r="E46" s="21"/>
      <c r="F46" s="21"/>
      <c r="G46" s="21"/>
      <c r="H46" s="21"/>
      <c r="I46" s="21"/>
      <c r="J46" s="21"/>
      <c r="K46" s="21"/>
    </row>
    <row r="47" spans="1:11">
      <c r="A47" s="21"/>
      <c r="B47" s="21"/>
      <c r="C47" s="21"/>
      <c r="D47" s="21"/>
      <c r="E47" s="21"/>
      <c r="F47" s="21"/>
      <c r="G47" s="21"/>
      <c r="H47" s="21"/>
      <c r="I47" s="21"/>
      <c r="J47" s="21"/>
      <c r="K47" s="21"/>
    </row>
    <row r="48" spans="1:11">
      <c r="A48" s="21"/>
      <c r="B48" s="21"/>
      <c r="C48" s="21"/>
      <c r="D48" s="21"/>
      <c r="E48" s="21"/>
      <c r="F48" s="21"/>
      <c r="G48" s="21"/>
      <c r="H48" s="21"/>
      <c r="I48" s="21"/>
      <c r="J48" s="21"/>
      <c r="K48" s="21"/>
    </row>
    <row r="49" spans="1:11">
      <c r="A49" s="21"/>
      <c r="B49" s="21"/>
      <c r="C49" s="21"/>
      <c r="D49" s="21"/>
      <c r="E49" s="21"/>
      <c r="F49" s="21"/>
      <c r="G49" s="21"/>
      <c r="H49" s="21"/>
      <c r="I49" s="21"/>
      <c r="J49" s="21"/>
      <c r="K49" s="21"/>
    </row>
    <row r="50" spans="1:11">
      <c r="A50" s="21"/>
      <c r="B50" s="21"/>
      <c r="C50" s="21"/>
      <c r="D50" s="21"/>
      <c r="E50" s="21"/>
      <c r="F50" s="21"/>
      <c r="G50" s="21"/>
      <c r="H50" s="21"/>
      <c r="I50" s="21"/>
      <c r="J50" s="21"/>
      <c r="K50" s="21"/>
    </row>
    <row r="51" spans="1:11">
      <c r="A51" s="21"/>
      <c r="B51" s="21"/>
      <c r="C51" s="21"/>
      <c r="D51" s="21"/>
      <c r="E51" s="21"/>
      <c r="F51" s="21"/>
      <c r="G51" s="21"/>
      <c r="H51" s="21"/>
      <c r="I51" s="21"/>
      <c r="J51" s="21"/>
      <c r="K51" s="21"/>
    </row>
    <row r="52" spans="1:11">
      <c r="A52" s="21"/>
      <c r="B52" s="21"/>
      <c r="C52" s="21"/>
      <c r="D52" s="21"/>
      <c r="E52" s="21"/>
      <c r="F52" s="21"/>
      <c r="G52" s="21"/>
      <c r="H52" s="21"/>
      <c r="I52" s="21"/>
      <c r="J52" s="21"/>
      <c r="K52" s="21"/>
    </row>
    <row r="53" spans="1:11">
      <c r="A53" s="21"/>
      <c r="B53" s="21"/>
      <c r="C53" s="21"/>
      <c r="D53" s="21"/>
      <c r="E53" s="21"/>
      <c r="F53" s="21"/>
      <c r="G53" s="21"/>
      <c r="H53" s="21"/>
      <c r="I53" s="21"/>
      <c r="J53" s="21"/>
      <c r="K53" s="21"/>
    </row>
    <row r="54" spans="1:11">
      <c r="A54" s="21"/>
      <c r="B54" s="21"/>
      <c r="C54" s="21"/>
      <c r="D54" s="21"/>
      <c r="E54" s="21"/>
      <c r="F54" s="21"/>
      <c r="G54" s="21"/>
      <c r="H54" s="21"/>
      <c r="I54" s="21"/>
      <c r="J54" s="21"/>
      <c r="K54" s="21"/>
    </row>
    <row r="55" spans="1:11">
      <c r="A55" s="21"/>
      <c r="B55" s="21"/>
      <c r="C55" s="21"/>
      <c r="D55" s="21"/>
      <c r="E55" s="21"/>
      <c r="F55" s="21"/>
      <c r="G55" s="21"/>
      <c r="H55" s="21"/>
      <c r="I55" s="21"/>
      <c r="J55" s="21"/>
      <c r="K55" s="21"/>
    </row>
    <row r="56" spans="1:11">
      <c r="A56" s="21"/>
      <c r="B56" s="21"/>
      <c r="C56" s="21"/>
      <c r="D56" s="21"/>
      <c r="E56" s="21"/>
      <c r="F56" s="21"/>
      <c r="G56" s="21"/>
      <c r="H56" s="21"/>
      <c r="I56" s="21"/>
      <c r="J56" s="21"/>
      <c r="K56" s="21"/>
    </row>
    <row r="57" spans="1:11">
      <c r="A57" s="21"/>
      <c r="B57" s="21"/>
      <c r="C57" s="21"/>
      <c r="D57" s="21"/>
      <c r="E57" s="21"/>
      <c r="F57" s="21"/>
      <c r="G57" s="21"/>
      <c r="H57" s="21"/>
      <c r="I57" s="21"/>
      <c r="J57" s="21"/>
      <c r="K57" s="21"/>
    </row>
    <row r="58" spans="1:11">
      <c r="A58" s="21"/>
      <c r="B58" s="21"/>
      <c r="C58" s="21"/>
      <c r="D58" s="21"/>
      <c r="E58" s="21"/>
      <c r="F58" s="21"/>
      <c r="G58" s="21"/>
      <c r="H58" s="21"/>
      <c r="I58" s="21"/>
      <c r="J58" s="21"/>
      <c r="K58" s="21"/>
    </row>
    <row r="59" spans="1:11">
      <c r="A59" s="21"/>
      <c r="B59" s="21"/>
      <c r="C59" s="21"/>
      <c r="D59" s="21"/>
      <c r="E59" s="21"/>
      <c r="F59" s="21"/>
      <c r="G59" s="21"/>
      <c r="H59" s="21"/>
      <c r="I59" s="21"/>
      <c r="J59" s="21"/>
      <c r="K59" s="21"/>
    </row>
    <row r="60" spans="1:11">
      <c r="A60" s="21"/>
      <c r="B60" s="21"/>
      <c r="C60" s="21"/>
      <c r="D60" s="21"/>
      <c r="E60" s="21"/>
      <c r="F60" s="21"/>
      <c r="G60" s="21"/>
      <c r="H60" s="21"/>
      <c r="I60" s="21"/>
      <c r="J60" s="21"/>
      <c r="K60" s="21"/>
    </row>
    <row r="61" spans="1:11">
      <c r="A61" s="21"/>
      <c r="B61" s="21"/>
      <c r="C61" s="21"/>
      <c r="D61" s="21"/>
      <c r="E61" s="21"/>
      <c r="F61" s="21"/>
      <c r="G61" s="21"/>
      <c r="H61" s="21"/>
      <c r="I61" s="21"/>
      <c r="J61" s="21"/>
      <c r="K61" s="21"/>
    </row>
    <row r="62" spans="1:11">
      <c r="A62" s="21"/>
      <c r="B62" s="21"/>
      <c r="C62" s="21"/>
      <c r="D62" s="21"/>
      <c r="E62" s="21"/>
      <c r="F62" s="21"/>
      <c r="G62" s="21"/>
      <c r="H62" s="21"/>
      <c r="I62" s="21"/>
      <c r="J62" s="21"/>
      <c r="K62" s="21"/>
    </row>
    <row r="63" spans="1:11">
      <c r="A63" s="21"/>
      <c r="B63" s="21"/>
      <c r="C63" s="21"/>
      <c r="D63" s="21"/>
      <c r="E63" s="21"/>
      <c r="F63" s="21"/>
      <c r="G63" s="21"/>
      <c r="H63" s="21"/>
      <c r="I63" s="21"/>
      <c r="J63" s="21"/>
      <c r="K63" s="21"/>
    </row>
    <row r="64" spans="1:11">
      <c r="A64" s="21"/>
      <c r="B64" s="21"/>
      <c r="C64" s="21"/>
      <c r="D64" s="21"/>
      <c r="E64" s="21"/>
      <c r="F64" s="21"/>
      <c r="G64" s="21"/>
      <c r="H64" s="21"/>
      <c r="I64" s="21"/>
      <c r="J64" s="21"/>
      <c r="K64" s="21"/>
    </row>
    <row r="65" spans="1:11">
      <c r="A65" s="21"/>
      <c r="B65" s="21"/>
      <c r="C65" s="21"/>
      <c r="D65" s="21"/>
      <c r="E65" s="21"/>
      <c r="F65" s="21"/>
      <c r="G65" s="21"/>
      <c r="H65" s="21"/>
      <c r="I65" s="21"/>
      <c r="J65" s="21"/>
      <c r="K65" s="21"/>
    </row>
    <row r="66" spans="1:11">
      <c r="A66" s="21"/>
      <c r="B66" s="21"/>
      <c r="C66" s="21"/>
      <c r="D66" s="21"/>
      <c r="E66" s="21"/>
      <c r="F66" s="21"/>
      <c r="G66" s="21"/>
      <c r="H66" s="21"/>
      <c r="I66" s="21"/>
      <c r="J66" s="21"/>
      <c r="K66" s="21"/>
    </row>
    <row r="67" spans="1:11">
      <c r="A67" s="21"/>
      <c r="B67" s="21"/>
      <c r="C67" s="21"/>
      <c r="D67" s="21"/>
      <c r="E67" s="21"/>
      <c r="F67" s="21"/>
      <c r="G67" s="21"/>
      <c r="H67" s="21"/>
      <c r="I67" s="21"/>
      <c r="J67" s="21"/>
      <c r="K67" s="21"/>
    </row>
    <row r="68" spans="1:11">
      <c r="A68" s="21"/>
      <c r="B68" s="21"/>
      <c r="C68" s="21"/>
      <c r="D68" s="21"/>
      <c r="E68" s="21"/>
      <c r="F68" s="21"/>
      <c r="G68" s="21"/>
      <c r="H68" s="21"/>
      <c r="I68" s="21"/>
      <c r="J68" s="21"/>
      <c r="K68" s="21"/>
    </row>
    <row r="69" spans="1:11">
      <c r="A69" s="21"/>
      <c r="B69" s="21"/>
      <c r="C69" s="21"/>
      <c r="D69" s="21"/>
      <c r="E69" s="21"/>
      <c r="F69" s="21"/>
      <c r="G69" s="21"/>
      <c r="H69" s="21"/>
      <c r="I69" s="21"/>
      <c r="J69" s="21"/>
      <c r="K69" s="21"/>
    </row>
    <row r="70" spans="1:11">
      <c r="A70" s="21"/>
      <c r="B70" s="21"/>
      <c r="C70" s="21"/>
      <c r="D70" s="21"/>
      <c r="E70" s="21"/>
      <c r="F70" s="21"/>
      <c r="G70" s="21"/>
      <c r="H70" s="21"/>
      <c r="I70" s="21"/>
      <c r="J70" s="21"/>
      <c r="K70" s="21"/>
    </row>
    <row r="71" spans="1:11">
      <c r="A71" s="21"/>
      <c r="B71" s="21"/>
      <c r="C71" s="21"/>
      <c r="D71" s="21"/>
      <c r="E71" s="21"/>
      <c r="F71" s="21"/>
      <c r="G71" s="21"/>
      <c r="H71" s="21"/>
      <c r="I71" s="21"/>
      <c r="J71" s="21"/>
      <c r="K71" s="21"/>
    </row>
    <row r="72" spans="1:11">
      <c r="A72" s="21"/>
      <c r="B72" s="21"/>
      <c r="C72" s="21"/>
      <c r="D72" s="21"/>
      <c r="E72" s="21"/>
      <c r="F72" s="21"/>
      <c r="G72" s="21"/>
      <c r="H72" s="21"/>
      <c r="I72" s="21"/>
      <c r="J72" s="21"/>
      <c r="K72" s="21"/>
    </row>
    <row r="73" spans="1:11">
      <c r="A73" s="21"/>
      <c r="B73" s="21"/>
      <c r="C73" s="21"/>
      <c r="D73" s="21"/>
      <c r="E73" s="21"/>
      <c r="F73" s="21"/>
      <c r="G73" s="21"/>
      <c r="H73" s="21"/>
      <c r="I73" s="21"/>
      <c r="J73" s="21"/>
      <c r="K73" s="21"/>
    </row>
    <row r="74" spans="1:11">
      <c r="A74" s="21"/>
      <c r="B74" s="21"/>
      <c r="C74" s="21"/>
      <c r="D74" s="21"/>
      <c r="E74" s="21"/>
      <c r="F74" s="21"/>
      <c r="G74" s="21"/>
      <c r="H74" s="21"/>
      <c r="I74" s="21"/>
      <c r="J74" s="21"/>
      <c r="K74" s="21"/>
    </row>
    <row r="75" spans="1:11">
      <c r="A75" s="21"/>
      <c r="B75" s="21"/>
      <c r="C75" s="21"/>
      <c r="D75" s="21"/>
      <c r="E75" s="21"/>
      <c r="F75" s="21"/>
      <c r="G75" s="21"/>
      <c r="H75" s="21"/>
      <c r="I75" s="21"/>
      <c r="J75" s="21"/>
      <c r="K75" s="21"/>
    </row>
    <row r="76" spans="1:11">
      <c r="A76" s="21"/>
      <c r="B76" s="21"/>
      <c r="C76" s="21"/>
      <c r="D76" s="21"/>
      <c r="E76" s="21"/>
      <c r="F76" s="21"/>
      <c r="G76" s="21"/>
      <c r="H76" s="21"/>
      <c r="I76" s="21"/>
      <c r="J76" s="21"/>
      <c r="K76" s="21"/>
    </row>
    <row r="77" spans="1:11">
      <c r="A77" s="21"/>
      <c r="B77" s="21"/>
      <c r="C77" s="21"/>
      <c r="D77" s="21"/>
      <c r="E77" s="21"/>
      <c r="F77" s="21"/>
      <c r="G77" s="21"/>
      <c r="H77" s="21"/>
      <c r="I77" s="21"/>
      <c r="J77" s="21"/>
      <c r="K77" s="21"/>
    </row>
    <row r="78" spans="1:11">
      <c r="A78" s="21"/>
      <c r="B78" s="21"/>
      <c r="C78" s="21"/>
      <c r="D78" s="21"/>
      <c r="E78" s="21"/>
      <c r="F78" s="21"/>
      <c r="G78" s="21"/>
      <c r="H78" s="21"/>
      <c r="I78" s="21"/>
      <c r="J78" s="21"/>
      <c r="K78" s="21"/>
    </row>
    <row r="79" spans="1:11">
      <c r="A79" s="21"/>
      <c r="B79" s="21"/>
      <c r="C79" s="21"/>
      <c r="D79" s="21"/>
      <c r="E79" s="21"/>
      <c r="F79" s="21"/>
      <c r="G79" s="21"/>
      <c r="H79" s="21"/>
      <c r="I79" s="21"/>
      <c r="J79" s="21"/>
      <c r="K79" s="21"/>
    </row>
    <row r="80" spans="1:11">
      <c r="A80" s="21"/>
      <c r="B80" s="21"/>
      <c r="C80" s="21"/>
      <c r="D80" s="21"/>
      <c r="E80" s="21"/>
      <c r="F80" s="21"/>
      <c r="G80" s="21"/>
      <c r="H80" s="21"/>
      <c r="I80" s="21"/>
      <c r="J80" s="21"/>
      <c r="K80" s="21"/>
    </row>
    <row r="81" spans="1:11">
      <c r="A81" s="21"/>
      <c r="B81" s="21"/>
      <c r="C81" s="21"/>
      <c r="D81" s="21"/>
      <c r="E81" s="21"/>
      <c r="F81" s="21"/>
      <c r="G81" s="21"/>
      <c r="H81" s="21"/>
      <c r="I81" s="21"/>
      <c r="J81" s="21"/>
      <c r="K81" s="21"/>
    </row>
    <row r="82" spans="1:11">
      <c r="A82" s="21"/>
      <c r="B82" s="21"/>
      <c r="C82" s="21"/>
      <c r="D82" s="21"/>
      <c r="E82" s="21"/>
      <c r="F82" s="21"/>
      <c r="G82" s="21"/>
      <c r="H82" s="21"/>
      <c r="I82" s="21"/>
      <c r="J82" s="21"/>
      <c r="K82" s="21"/>
    </row>
    <row r="83" spans="1:11">
      <c r="A83" s="21"/>
      <c r="B83" s="21"/>
      <c r="C83" s="21"/>
      <c r="D83" s="21"/>
      <c r="E83" s="21"/>
      <c r="F83" s="21"/>
      <c r="G83" s="21"/>
      <c r="H83" s="21"/>
      <c r="I83" s="21"/>
      <c r="J83" s="21"/>
      <c r="K83" s="21"/>
    </row>
    <row r="84" spans="1:11">
      <c r="A84" s="21"/>
      <c r="B84" s="21"/>
      <c r="C84" s="21"/>
      <c r="D84" s="21"/>
      <c r="E84" s="21"/>
      <c r="F84" s="21"/>
      <c r="G84" s="21"/>
      <c r="H84" s="21"/>
      <c r="I84" s="21"/>
      <c r="J84" s="21"/>
      <c r="K84" s="21"/>
    </row>
    <row r="85" spans="1:11">
      <c r="A85" s="21"/>
      <c r="B85" s="21"/>
      <c r="C85" s="21"/>
      <c r="D85" s="21"/>
      <c r="E85" s="21"/>
      <c r="F85" s="21"/>
      <c r="G85" s="21"/>
      <c r="H85" s="21"/>
      <c r="I85" s="21"/>
      <c r="J85" s="21"/>
      <c r="K85" s="21"/>
    </row>
    <row r="86" spans="1:11">
      <c r="A86" s="21"/>
      <c r="B86" s="21"/>
      <c r="C86" s="21"/>
      <c r="D86" s="21"/>
      <c r="E86" s="21"/>
      <c r="F86" s="21"/>
      <c r="G86" s="21"/>
      <c r="H86" s="21"/>
      <c r="I86" s="21"/>
      <c r="J86" s="21"/>
      <c r="K86" s="21"/>
    </row>
    <row r="87" spans="1:11">
      <c r="A87" s="21"/>
      <c r="B87" s="21"/>
      <c r="C87" s="21"/>
      <c r="D87" s="21"/>
      <c r="E87" s="21"/>
      <c r="F87" s="21"/>
      <c r="G87" s="21"/>
      <c r="H87" s="21"/>
      <c r="I87" s="21"/>
      <c r="J87" s="21"/>
      <c r="K87" s="21"/>
    </row>
    <row r="88" spans="1:11">
      <c r="A88" s="21"/>
      <c r="B88" s="21"/>
      <c r="C88" s="21"/>
      <c r="D88" s="21"/>
      <c r="E88" s="21"/>
      <c r="F88" s="21"/>
      <c r="G88" s="21"/>
      <c r="H88" s="21"/>
      <c r="I88" s="21"/>
      <c r="J88" s="21"/>
      <c r="K88" s="21"/>
    </row>
    <row r="89" spans="1:11">
      <c r="A89" s="21"/>
      <c r="B89" s="21"/>
      <c r="C89" s="21"/>
      <c r="D89" s="21"/>
      <c r="E89" s="21"/>
      <c r="F89" s="21"/>
      <c r="G89" s="21"/>
      <c r="H89" s="21"/>
      <c r="I89" s="21"/>
      <c r="J89" s="21"/>
      <c r="K89" s="21"/>
    </row>
    <row r="90" spans="1:11">
      <c r="A90" s="21"/>
      <c r="B90" s="21"/>
      <c r="C90" s="21"/>
      <c r="D90" s="21"/>
      <c r="E90" s="21"/>
      <c r="F90" s="21"/>
      <c r="G90" s="21"/>
      <c r="H90" s="21"/>
      <c r="I90" s="21"/>
      <c r="J90" s="21"/>
      <c r="K90" s="21"/>
    </row>
    <row r="91" spans="1:11">
      <c r="A91" s="21"/>
      <c r="B91" s="21"/>
      <c r="C91" s="21"/>
      <c r="D91" s="21"/>
      <c r="E91" s="21"/>
      <c r="F91" s="21"/>
      <c r="G91" s="21"/>
      <c r="H91" s="21"/>
      <c r="I91" s="21"/>
      <c r="J91" s="21"/>
      <c r="K91" s="21"/>
    </row>
    <row r="92" spans="1:11">
      <c r="A92" s="21"/>
      <c r="B92" s="21"/>
      <c r="C92" s="21"/>
      <c r="D92" s="21"/>
      <c r="E92" s="21"/>
      <c r="F92" s="21"/>
      <c r="G92" s="21"/>
      <c r="H92" s="21"/>
      <c r="I92" s="21"/>
      <c r="J92" s="21"/>
      <c r="K92" s="21"/>
    </row>
    <row r="93" spans="1:11">
      <c r="A93" s="21"/>
      <c r="B93" s="21"/>
      <c r="C93" s="21"/>
      <c r="D93" s="21"/>
      <c r="E93" s="21"/>
      <c r="F93" s="21"/>
      <c r="G93" s="21"/>
      <c r="H93" s="21"/>
      <c r="I93" s="21"/>
      <c r="J93" s="21"/>
      <c r="K93" s="21"/>
    </row>
    <row r="94" spans="1:11">
      <c r="A94" s="21"/>
      <c r="B94" s="21"/>
      <c r="C94" s="21"/>
      <c r="D94" s="21"/>
      <c r="E94" s="21"/>
      <c r="F94" s="21"/>
      <c r="G94" s="21"/>
      <c r="H94" s="21"/>
      <c r="I94" s="21"/>
      <c r="J94" s="21"/>
      <c r="K94" s="21"/>
    </row>
  </sheetData>
  <sheetProtection formatColumns="0" formatRows="0" insertColumns="0" insertRows="0"/>
  <printOptions horizontalCentered="1"/>
  <pageMargins left="0.25" right="0.25" top="0.75" bottom="0.75" header="0.3" footer="0.3"/>
  <pageSetup orientation="portrait" r:id="rId1"/>
  <headerFooter scaleWithDoc="0">
    <oddHeader>&amp;C&amp;"-,Bold"&amp;20 2022 Income Statement</oddHead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4257" r:id="rId4" name="Button 1">
              <controlPr defaultSize="0" print="0" autoFill="0" autoPict="0" macro="[0]!PasteImageWithBorder_ExtraPage">
                <anchor moveWithCells="1" sizeWithCells="1">
                  <from>
                    <xdr:col>12</xdr:col>
                    <xdr:colOff>312420</xdr:colOff>
                    <xdr:row>3</xdr:row>
                    <xdr:rowOff>0</xdr:rowOff>
                  </from>
                  <to>
                    <xdr:col>15</xdr:col>
                    <xdr:colOff>304800</xdr:colOff>
                    <xdr:row>6</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F4CEE-42F0-4CFD-B9CF-E6925AB37295}">
  <sheetPr codeName="Sheet48">
    <tabColor theme="9" tint="-0.249977111117893"/>
  </sheetPr>
  <dimension ref="A1:K94"/>
  <sheetViews>
    <sheetView view="pageLayout" zoomScale="115" zoomScaleNormal="115" zoomScaleSheetLayoutView="130" zoomScalePageLayoutView="115" workbookViewId="0">
      <selection activeCell="E7" sqref="E7:I7"/>
    </sheetView>
  </sheetViews>
  <sheetFormatPr defaultRowHeight="14.4"/>
  <cols>
    <col min="1" max="1" width="9.6640625" customWidth="1"/>
    <col min="11" max="11" width="9.6640625" customWidth="1"/>
  </cols>
  <sheetData>
    <row r="1" spans="1:11">
      <c r="A1" s="21"/>
      <c r="B1" s="21"/>
      <c r="C1" s="21"/>
      <c r="D1" s="21"/>
      <c r="E1" s="21"/>
      <c r="F1" s="21"/>
      <c r="G1" s="21"/>
      <c r="H1" s="21"/>
      <c r="I1" s="21"/>
      <c r="J1" s="21"/>
      <c r="K1" s="21"/>
    </row>
    <row r="2" spans="1:11">
      <c r="A2" s="21"/>
      <c r="B2" s="21"/>
      <c r="C2" s="21"/>
      <c r="D2" s="21"/>
      <c r="E2" s="21"/>
      <c r="F2" s="21"/>
      <c r="G2" s="21"/>
      <c r="H2" s="21"/>
      <c r="I2" s="21"/>
      <c r="J2" s="21"/>
      <c r="K2" s="21"/>
    </row>
    <row r="3" spans="1:11">
      <c r="A3" s="21"/>
      <c r="B3" s="21"/>
      <c r="C3" s="21"/>
      <c r="D3" s="21"/>
      <c r="E3" s="21"/>
      <c r="F3" s="21"/>
      <c r="G3" s="21"/>
      <c r="H3" s="21"/>
      <c r="I3" s="21"/>
      <c r="J3" s="21"/>
      <c r="K3" s="21"/>
    </row>
    <row r="4" spans="1:11">
      <c r="A4" s="21"/>
      <c r="B4" s="21"/>
      <c r="C4" s="21"/>
      <c r="D4" s="21"/>
      <c r="E4" s="21"/>
      <c r="F4" s="21"/>
      <c r="G4" s="21"/>
      <c r="H4" s="21"/>
      <c r="I4" s="21"/>
      <c r="J4" s="21"/>
      <c r="K4" s="21"/>
    </row>
    <row r="5" spans="1:11">
      <c r="A5" s="21"/>
      <c r="B5" s="21"/>
      <c r="C5" s="21"/>
      <c r="D5" s="21"/>
      <c r="E5" s="21"/>
      <c r="F5" s="21"/>
      <c r="G5" s="21"/>
      <c r="H5" s="21"/>
      <c r="I5" s="21"/>
      <c r="J5" s="21"/>
      <c r="K5" s="21"/>
    </row>
    <row r="6" spans="1:11">
      <c r="A6" s="21"/>
      <c r="B6" s="21"/>
      <c r="C6" s="21"/>
      <c r="D6" s="21"/>
      <c r="E6" s="21"/>
      <c r="F6" s="21"/>
      <c r="G6" s="21"/>
      <c r="H6" s="21"/>
      <c r="I6" s="21"/>
      <c r="J6" s="21"/>
      <c r="K6" s="21"/>
    </row>
    <row r="7" spans="1:11">
      <c r="A7" s="21"/>
      <c r="B7" s="21"/>
      <c r="C7" s="21"/>
      <c r="D7" s="21"/>
      <c r="E7" s="21"/>
      <c r="F7" s="21"/>
      <c r="G7" s="21"/>
      <c r="H7" s="21"/>
      <c r="I7" s="21"/>
      <c r="J7" s="21"/>
      <c r="K7" s="21"/>
    </row>
    <row r="8" spans="1:11">
      <c r="A8" s="21"/>
      <c r="B8" s="21"/>
      <c r="C8" s="21"/>
      <c r="D8" s="21"/>
      <c r="E8" s="21"/>
      <c r="F8" s="21"/>
      <c r="G8" s="21"/>
      <c r="H8" s="21"/>
      <c r="I8" s="21"/>
      <c r="J8" s="21"/>
      <c r="K8" s="21"/>
    </row>
    <row r="9" spans="1:11">
      <c r="A9" s="21"/>
      <c r="B9" s="21"/>
      <c r="C9" s="21"/>
      <c r="D9" s="21"/>
      <c r="E9" s="21"/>
      <c r="F9" s="21"/>
      <c r="G9" s="21"/>
      <c r="H9" s="21"/>
      <c r="I9" s="21"/>
      <c r="J9" s="21"/>
      <c r="K9" s="21"/>
    </row>
    <row r="10" spans="1:11">
      <c r="A10" s="21"/>
      <c r="B10" s="21"/>
      <c r="C10" s="21"/>
      <c r="D10" s="21"/>
      <c r="E10" s="21"/>
      <c r="F10" s="21"/>
      <c r="G10" s="21"/>
      <c r="H10" s="21"/>
      <c r="I10" s="21"/>
      <c r="J10" s="21"/>
      <c r="K10" s="21"/>
    </row>
    <row r="11" spans="1:11">
      <c r="A11" s="21"/>
      <c r="B11" s="21"/>
      <c r="C11" s="21"/>
      <c r="D11" s="21"/>
      <c r="E11" s="21"/>
      <c r="F11" s="21"/>
      <c r="G11" s="21"/>
      <c r="H11" s="21"/>
      <c r="I11" s="21"/>
      <c r="J11" s="21"/>
      <c r="K11" s="21"/>
    </row>
    <row r="12" spans="1:11">
      <c r="A12" s="21"/>
      <c r="B12" s="21"/>
      <c r="C12" s="21"/>
      <c r="D12" s="21"/>
      <c r="E12" s="21"/>
      <c r="F12" s="21"/>
      <c r="G12" s="21"/>
      <c r="H12" s="21"/>
      <c r="I12" s="21"/>
      <c r="J12" s="21"/>
      <c r="K12" s="21"/>
    </row>
    <row r="13" spans="1:11">
      <c r="A13" s="21"/>
      <c r="B13" s="21"/>
      <c r="C13" s="21"/>
      <c r="D13" s="21"/>
      <c r="E13" s="21"/>
      <c r="F13" s="21"/>
      <c r="G13" s="21"/>
      <c r="H13" s="21"/>
      <c r="I13" s="21"/>
      <c r="J13" s="21"/>
      <c r="K13" s="21"/>
    </row>
    <row r="14" spans="1:11">
      <c r="A14" s="21"/>
      <c r="B14" s="21"/>
      <c r="C14" s="21"/>
      <c r="D14" s="21"/>
      <c r="E14" s="21"/>
      <c r="F14" s="21"/>
      <c r="G14" s="21"/>
      <c r="H14" s="21"/>
      <c r="I14" s="21"/>
      <c r="J14" s="21"/>
      <c r="K14" s="21"/>
    </row>
    <row r="15" spans="1:11">
      <c r="A15" s="21"/>
      <c r="B15" s="21"/>
      <c r="C15" s="21"/>
      <c r="D15" s="21"/>
      <c r="E15" s="21"/>
      <c r="F15" s="21"/>
      <c r="G15" s="21"/>
      <c r="H15" s="21"/>
      <c r="I15" s="21"/>
      <c r="J15" s="21"/>
      <c r="K15" s="21"/>
    </row>
    <row r="16" spans="1:11">
      <c r="A16" s="21"/>
      <c r="B16" s="21"/>
      <c r="C16" s="21"/>
      <c r="D16" s="21"/>
      <c r="E16" s="21"/>
      <c r="F16" s="21"/>
      <c r="G16" s="21"/>
      <c r="H16" s="21"/>
      <c r="I16" s="21"/>
      <c r="J16" s="21"/>
      <c r="K16" s="21"/>
    </row>
    <row r="17" spans="1:11">
      <c r="A17" s="21"/>
      <c r="B17" s="21"/>
      <c r="C17" s="21"/>
      <c r="D17" s="21"/>
      <c r="E17" s="21"/>
      <c r="F17" s="21"/>
      <c r="G17" s="21"/>
      <c r="H17" s="21"/>
      <c r="I17" s="21"/>
      <c r="J17" s="21"/>
      <c r="K17" s="21"/>
    </row>
    <row r="18" spans="1:11">
      <c r="A18" s="21"/>
      <c r="B18" s="21"/>
      <c r="C18" s="21"/>
      <c r="D18" s="21"/>
      <c r="E18" s="21"/>
      <c r="F18" s="21"/>
      <c r="G18" s="21"/>
      <c r="H18" s="21"/>
      <c r="I18" s="21"/>
      <c r="J18" s="21"/>
      <c r="K18" s="21"/>
    </row>
    <row r="19" spans="1:11">
      <c r="A19" s="21"/>
      <c r="B19" s="21"/>
      <c r="C19" s="21"/>
      <c r="D19" s="21"/>
      <c r="E19" s="21"/>
      <c r="F19" s="21"/>
      <c r="G19" s="21"/>
      <c r="H19" s="21"/>
      <c r="I19" s="21"/>
      <c r="J19" s="21"/>
      <c r="K19" s="21"/>
    </row>
    <row r="20" spans="1:11">
      <c r="A20" s="21"/>
      <c r="B20" s="21"/>
      <c r="C20" s="21"/>
      <c r="D20" s="21"/>
      <c r="E20" s="21"/>
      <c r="F20" s="21"/>
      <c r="G20" s="21"/>
      <c r="H20" s="21"/>
      <c r="I20" s="21"/>
      <c r="J20" s="21"/>
      <c r="K20" s="21"/>
    </row>
    <row r="21" spans="1:11">
      <c r="A21" s="21"/>
      <c r="B21" s="21"/>
      <c r="C21" s="21"/>
      <c r="D21" s="21"/>
      <c r="E21" s="21"/>
      <c r="F21" s="21"/>
      <c r="G21" s="21"/>
      <c r="H21" s="21"/>
      <c r="I21" s="21"/>
      <c r="J21" s="21"/>
      <c r="K21" s="21"/>
    </row>
    <row r="22" spans="1:11">
      <c r="A22" s="21"/>
      <c r="B22" s="21"/>
      <c r="C22" s="21"/>
      <c r="D22" s="21"/>
      <c r="E22" s="21"/>
      <c r="F22" s="21"/>
      <c r="G22" s="21"/>
      <c r="H22" s="21"/>
      <c r="I22" s="21"/>
      <c r="J22" s="21"/>
      <c r="K22" s="21"/>
    </row>
    <row r="23" spans="1:11">
      <c r="A23" s="21"/>
      <c r="B23" s="21"/>
      <c r="C23" s="21"/>
      <c r="D23" s="21"/>
      <c r="E23" s="21"/>
      <c r="F23" s="21"/>
      <c r="G23" s="21"/>
      <c r="H23" s="21"/>
      <c r="I23" s="21"/>
      <c r="J23" s="21"/>
      <c r="K23" s="21"/>
    </row>
    <row r="24" spans="1:11">
      <c r="A24" s="21"/>
      <c r="B24" s="21"/>
      <c r="C24" s="21"/>
      <c r="D24" s="21"/>
      <c r="E24" s="21"/>
      <c r="F24" s="21"/>
      <c r="G24" s="21"/>
      <c r="H24" s="21"/>
      <c r="I24" s="21"/>
      <c r="J24" s="21"/>
      <c r="K24" s="21"/>
    </row>
    <row r="25" spans="1:11">
      <c r="A25" s="21"/>
      <c r="B25" s="21"/>
      <c r="C25" s="21"/>
      <c r="D25" s="21"/>
      <c r="E25" s="21"/>
      <c r="F25" s="21"/>
      <c r="G25" s="21"/>
      <c r="H25" s="21"/>
      <c r="I25" s="21"/>
      <c r="J25" s="21"/>
      <c r="K25" s="21"/>
    </row>
    <row r="26" spans="1:11">
      <c r="A26" s="21"/>
      <c r="B26" s="21"/>
      <c r="C26" s="21"/>
      <c r="D26" s="21"/>
      <c r="E26" s="21"/>
      <c r="F26" s="21"/>
      <c r="G26" s="21"/>
      <c r="H26" s="21"/>
      <c r="I26" s="21"/>
      <c r="J26" s="21"/>
      <c r="K26" s="21"/>
    </row>
    <row r="27" spans="1:11">
      <c r="A27" s="21"/>
      <c r="B27" s="21"/>
      <c r="C27" s="21"/>
      <c r="D27" s="21"/>
      <c r="E27" s="21"/>
      <c r="F27" s="21"/>
      <c r="G27" s="21"/>
      <c r="H27" s="21"/>
      <c r="I27" s="21"/>
      <c r="J27" s="21"/>
      <c r="K27" s="21"/>
    </row>
    <row r="28" spans="1:11">
      <c r="A28" s="21"/>
      <c r="B28" s="21"/>
      <c r="C28" s="21"/>
      <c r="D28" s="21"/>
      <c r="E28" s="21"/>
      <c r="F28" s="21"/>
      <c r="G28" s="21"/>
      <c r="H28" s="21"/>
      <c r="I28" s="21"/>
      <c r="J28" s="21"/>
      <c r="K28" s="21"/>
    </row>
    <row r="29" spans="1:11">
      <c r="A29" s="21"/>
      <c r="B29" s="21"/>
      <c r="C29" s="21"/>
      <c r="D29" s="21"/>
      <c r="E29" s="21"/>
      <c r="F29" s="21"/>
      <c r="G29" s="21"/>
      <c r="H29" s="21"/>
      <c r="I29" s="21"/>
      <c r="J29" s="21"/>
      <c r="K29" s="21"/>
    </row>
    <row r="30" spans="1:11">
      <c r="A30" s="21"/>
      <c r="B30" s="21"/>
      <c r="C30" s="21"/>
      <c r="D30" s="21"/>
      <c r="E30" s="21"/>
      <c r="F30" s="21"/>
      <c r="G30" s="21"/>
      <c r="H30" s="21"/>
      <c r="I30" s="21"/>
      <c r="J30" s="21"/>
      <c r="K30" s="21"/>
    </row>
    <row r="31" spans="1:11">
      <c r="A31" s="21"/>
      <c r="B31" s="21"/>
      <c r="C31" s="21"/>
      <c r="D31" s="21"/>
      <c r="E31" s="21"/>
      <c r="F31" s="21"/>
      <c r="G31" s="21"/>
      <c r="H31" s="21"/>
      <c r="I31" s="21"/>
      <c r="J31" s="21"/>
      <c r="K31" s="21"/>
    </row>
    <row r="32" spans="1:11">
      <c r="A32" s="21"/>
      <c r="B32" s="21"/>
      <c r="C32" s="21"/>
      <c r="D32" s="21"/>
      <c r="E32" s="21"/>
      <c r="F32" s="21"/>
      <c r="G32" s="21"/>
      <c r="H32" s="21"/>
      <c r="I32" s="21"/>
      <c r="J32" s="21"/>
      <c r="K32" s="21"/>
    </row>
    <row r="33" spans="1:11">
      <c r="A33" s="21"/>
      <c r="B33" s="21"/>
      <c r="C33" s="21"/>
      <c r="D33" s="21"/>
      <c r="E33" s="21"/>
      <c r="F33" s="21"/>
      <c r="G33" s="21"/>
      <c r="H33" s="21"/>
      <c r="I33" s="21"/>
      <c r="J33" s="21"/>
      <c r="K33" s="21"/>
    </row>
    <row r="34" spans="1:11">
      <c r="A34" s="21"/>
      <c r="B34" s="21"/>
      <c r="C34" s="21"/>
      <c r="D34" s="21"/>
      <c r="E34" s="21"/>
      <c r="F34" s="21"/>
      <c r="G34" s="21"/>
      <c r="H34" s="21"/>
      <c r="I34" s="21"/>
      <c r="J34" s="21"/>
      <c r="K34" s="21"/>
    </row>
    <row r="35" spans="1:11">
      <c r="A35" s="21"/>
      <c r="B35" s="21"/>
      <c r="C35" s="21"/>
      <c r="D35" s="21"/>
      <c r="E35" s="21"/>
      <c r="F35" s="21"/>
      <c r="G35" s="21"/>
      <c r="H35" s="21"/>
      <c r="I35" s="21"/>
      <c r="J35" s="21"/>
      <c r="K35" s="21"/>
    </row>
    <row r="36" spans="1:11">
      <c r="A36" s="21"/>
      <c r="B36" s="21"/>
      <c r="C36" s="21"/>
      <c r="D36" s="21"/>
      <c r="E36" s="21"/>
      <c r="F36" s="21"/>
      <c r="G36" s="21"/>
      <c r="H36" s="21"/>
      <c r="I36" s="21"/>
      <c r="J36" s="21"/>
      <c r="K36" s="21"/>
    </row>
    <row r="37" spans="1:11">
      <c r="A37" s="21"/>
      <c r="B37" s="21"/>
      <c r="C37" s="21"/>
      <c r="D37" s="21"/>
      <c r="E37" s="21"/>
      <c r="F37" s="21"/>
      <c r="G37" s="21"/>
      <c r="H37" s="21"/>
      <c r="I37" s="21"/>
      <c r="J37" s="21"/>
      <c r="K37" s="21"/>
    </row>
    <row r="38" spans="1:11">
      <c r="A38" s="21"/>
      <c r="B38" s="21"/>
      <c r="C38" s="21"/>
      <c r="D38" s="21"/>
      <c r="E38" s="21"/>
      <c r="F38" s="21"/>
      <c r="G38" s="21"/>
      <c r="H38" s="21"/>
      <c r="I38" s="21"/>
      <c r="J38" s="21"/>
      <c r="K38" s="21"/>
    </row>
    <row r="39" spans="1:11">
      <c r="A39" s="21"/>
      <c r="B39" s="21"/>
      <c r="C39" s="21"/>
      <c r="D39" s="21"/>
      <c r="E39" s="21"/>
      <c r="F39" s="21"/>
      <c r="G39" s="21"/>
      <c r="H39" s="21"/>
      <c r="I39" s="21"/>
      <c r="J39" s="21"/>
      <c r="K39" s="21"/>
    </row>
    <row r="40" spans="1:11">
      <c r="A40" s="21"/>
      <c r="B40" s="21"/>
      <c r="C40" s="21"/>
      <c r="D40" s="21"/>
      <c r="E40" s="21"/>
      <c r="F40" s="21"/>
      <c r="G40" s="21"/>
      <c r="H40" s="21"/>
      <c r="I40" s="21"/>
      <c r="J40" s="21"/>
      <c r="K40" s="21"/>
    </row>
    <row r="41" spans="1:11">
      <c r="A41" s="21"/>
      <c r="B41" s="21"/>
      <c r="C41" s="21"/>
      <c r="D41" s="21"/>
      <c r="E41" s="21"/>
      <c r="F41" s="21"/>
      <c r="G41" s="21"/>
      <c r="H41" s="21"/>
      <c r="I41" s="21"/>
      <c r="J41" s="21"/>
      <c r="K41" s="21"/>
    </row>
    <row r="42" spans="1:11">
      <c r="A42" s="21"/>
      <c r="B42" s="21"/>
      <c r="C42" s="21"/>
      <c r="D42" s="21"/>
      <c r="E42" s="21"/>
      <c r="F42" s="21"/>
      <c r="G42" s="21"/>
      <c r="H42" s="21"/>
      <c r="I42" s="21"/>
      <c r="J42" s="21"/>
      <c r="K42" s="21"/>
    </row>
    <row r="43" spans="1:11">
      <c r="A43" s="21"/>
      <c r="B43" s="21"/>
      <c r="C43" s="21"/>
      <c r="D43" s="21"/>
      <c r="E43" s="21"/>
      <c r="F43" s="21"/>
      <c r="G43" s="21"/>
      <c r="H43" s="21"/>
      <c r="I43" s="21"/>
      <c r="J43" s="21"/>
      <c r="K43" s="21"/>
    </row>
    <row r="44" spans="1:11">
      <c r="A44" s="21"/>
      <c r="B44" s="21"/>
      <c r="C44" s="21"/>
      <c r="D44" s="21"/>
      <c r="E44" s="21"/>
      <c r="F44" s="21"/>
      <c r="G44" s="21"/>
      <c r="H44" s="21"/>
      <c r="I44" s="21"/>
      <c r="J44" s="21"/>
      <c r="K44" s="21"/>
    </row>
    <row r="45" spans="1:11">
      <c r="A45" s="21"/>
      <c r="B45" s="21"/>
      <c r="C45" s="21"/>
      <c r="D45" s="21"/>
      <c r="E45" s="21"/>
      <c r="F45" s="21"/>
      <c r="G45" s="21"/>
      <c r="H45" s="21"/>
      <c r="I45" s="21"/>
      <c r="J45" s="21"/>
      <c r="K45" s="21"/>
    </row>
    <row r="46" spans="1:11">
      <c r="A46" s="21"/>
      <c r="B46" s="21"/>
      <c r="C46" s="21"/>
      <c r="D46" s="21"/>
      <c r="E46" s="21"/>
      <c r="F46" s="21"/>
      <c r="G46" s="21"/>
      <c r="H46" s="21"/>
      <c r="I46" s="21"/>
      <c r="J46" s="21"/>
      <c r="K46" s="21"/>
    </row>
    <row r="47" spans="1:11">
      <c r="A47" s="21"/>
      <c r="B47" s="21"/>
      <c r="C47" s="21"/>
      <c r="D47" s="21"/>
      <c r="E47" s="21"/>
      <c r="F47" s="21"/>
      <c r="G47" s="21"/>
      <c r="H47" s="21"/>
      <c r="I47" s="21"/>
      <c r="J47" s="21"/>
      <c r="K47" s="21"/>
    </row>
    <row r="48" spans="1:11">
      <c r="A48" s="21"/>
      <c r="B48" s="21"/>
      <c r="C48" s="21"/>
      <c r="D48" s="21"/>
      <c r="E48" s="21"/>
      <c r="F48" s="21"/>
      <c r="G48" s="21"/>
      <c r="H48" s="21"/>
      <c r="I48" s="21"/>
      <c r="J48" s="21"/>
      <c r="K48" s="21"/>
    </row>
    <row r="49" spans="1:11">
      <c r="A49" s="21"/>
      <c r="B49" s="21"/>
      <c r="C49" s="21"/>
      <c r="D49" s="21"/>
      <c r="E49" s="21"/>
      <c r="F49" s="21"/>
      <c r="G49" s="21"/>
      <c r="H49" s="21"/>
      <c r="I49" s="21"/>
      <c r="J49" s="21"/>
      <c r="K49" s="21"/>
    </row>
    <row r="50" spans="1:11">
      <c r="A50" s="21"/>
      <c r="B50" s="21"/>
      <c r="C50" s="21"/>
      <c r="D50" s="21"/>
      <c r="E50" s="21"/>
      <c r="F50" s="21"/>
      <c r="G50" s="21"/>
      <c r="H50" s="21"/>
      <c r="I50" s="21"/>
      <c r="J50" s="21"/>
      <c r="K50" s="21"/>
    </row>
    <row r="51" spans="1:11">
      <c r="A51" s="21"/>
      <c r="B51" s="21"/>
      <c r="C51" s="21"/>
      <c r="D51" s="21"/>
      <c r="E51" s="21"/>
      <c r="F51" s="21"/>
      <c r="G51" s="21"/>
      <c r="H51" s="21"/>
      <c r="I51" s="21"/>
      <c r="J51" s="21"/>
      <c r="K51" s="21"/>
    </row>
    <row r="52" spans="1:11">
      <c r="A52" s="21"/>
      <c r="B52" s="21"/>
      <c r="C52" s="21"/>
      <c r="D52" s="21"/>
      <c r="E52" s="21"/>
      <c r="F52" s="21"/>
      <c r="G52" s="21"/>
      <c r="H52" s="21"/>
      <c r="I52" s="21"/>
      <c r="J52" s="21"/>
      <c r="K52" s="21"/>
    </row>
    <row r="53" spans="1:11">
      <c r="A53" s="21"/>
      <c r="B53" s="21"/>
      <c r="C53" s="21"/>
      <c r="D53" s="21"/>
      <c r="E53" s="21"/>
      <c r="F53" s="21"/>
      <c r="G53" s="21"/>
      <c r="H53" s="21"/>
      <c r="I53" s="21"/>
      <c r="J53" s="21"/>
      <c r="K53" s="21"/>
    </row>
    <row r="54" spans="1:11">
      <c r="A54" s="21"/>
      <c r="B54" s="21"/>
      <c r="C54" s="21"/>
      <c r="D54" s="21"/>
      <c r="E54" s="21"/>
      <c r="F54" s="21"/>
      <c r="G54" s="21"/>
      <c r="H54" s="21"/>
      <c r="I54" s="21"/>
      <c r="J54" s="21"/>
      <c r="K54" s="21"/>
    </row>
    <row r="55" spans="1:11">
      <c r="A55" s="21"/>
      <c r="B55" s="21"/>
      <c r="C55" s="21"/>
      <c r="D55" s="21"/>
      <c r="E55" s="21"/>
      <c r="F55" s="21"/>
      <c r="G55" s="21"/>
      <c r="H55" s="21"/>
      <c r="I55" s="21"/>
      <c r="J55" s="21"/>
      <c r="K55" s="21"/>
    </row>
    <row r="56" spans="1:11">
      <c r="A56" s="21"/>
      <c r="B56" s="21"/>
      <c r="C56" s="21"/>
      <c r="D56" s="21"/>
      <c r="E56" s="21"/>
      <c r="F56" s="21"/>
      <c r="G56" s="21"/>
      <c r="H56" s="21"/>
      <c r="I56" s="21"/>
      <c r="J56" s="21"/>
      <c r="K56" s="21"/>
    </row>
    <row r="57" spans="1:11">
      <c r="A57" s="21"/>
      <c r="B57" s="21"/>
      <c r="C57" s="21"/>
      <c r="D57" s="21"/>
      <c r="E57" s="21"/>
      <c r="F57" s="21"/>
      <c r="G57" s="21"/>
      <c r="H57" s="21"/>
      <c r="I57" s="21"/>
      <c r="J57" s="21"/>
      <c r="K57" s="21"/>
    </row>
    <row r="58" spans="1:11">
      <c r="A58" s="21"/>
      <c r="B58" s="21"/>
      <c r="C58" s="21"/>
      <c r="D58" s="21"/>
      <c r="E58" s="21"/>
      <c r="F58" s="21"/>
      <c r="G58" s="21"/>
      <c r="H58" s="21"/>
      <c r="I58" s="21"/>
      <c r="J58" s="21"/>
      <c r="K58" s="21"/>
    </row>
    <row r="59" spans="1:11">
      <c r="A59" s="21"/>
      <c r="B59" s="21"/>
      <c r="C59" s="21"/>
      <c r="D59" s="21"/>
      <c r="E59" s="21"/>
      <c r="F59" s="21"/>
      <c r="G59" s="21"/>
      <c r="H59" s="21"/>
      <c r="I59" s="21"/>
      <c r="J59" s="21"/>
      <c r="K59" s="21"/>
    </row>
    <row r="60" spans="1:11">
      <c r="A60" s="21"/>
      <c r="B60" s="21"/>
      <c r="C60" s="21"/>
      <c r="D60" s="21"/>
      <c r="E60" s="21"/>
      <c r="F60" s="21"/>
      <c r="G60" s="21"/>
      <c r="H60" s="21"/>
      <c r="I60" s="21"/>
      <c r="J60" s="21"/>
      <c r="K60" s="21"/>
    </row>
    <row r="61" spans="1:11">
      <c r="A61" s="21"/>
      <c r="B61" s="21"/>
      <c r="C61" s="21"/>
      <c r="D61" s="21"/>
      <c r="E61" s="21"/>
      <c r="F61" s="21"/>
      <c r="G61" s="21"/>
      <c r="H61" s="21"/>
      <c r="I61" s="21"/>
      <c r="J61" s="21"/>
      <c r="K61" s="21"/>
    </row>
    <row r="62" spans="1:11">
      <c r="A62" s="21"/>
      <c r="B62" s="21"/>
      <c r="C62" s="21"/>
      <c r="D62" s="21"/>
      <c r="E62" s="21"/>
      <c r="F62" s="21"/>
      <c r="G62" s="21"/>
      <c r="H62" s="21"/>
      <c r="I62" s="21"/>
      <c r="J62" s="21"/>
      <c r="K62" s="21"/>
    </row>
    <row r="63" spans="1:11">
      <c r="A63" s="21"/>
      <c r="B63" s="21"/>
      <c r="C63" s="21"/>
      <c r="D63" s="21"/>
      <c r="E63" s="21"/>
      <c r="F63" s="21"/>
      <c r="G63" s="21"/>
      <c r="H63" s="21"/>
      <c r="I63" s="21"/>
      <c r="J63" s="21"/>
      <c r="K63" s="21"/>
    </row>
    <row r="64" spans="1:11">
      <c r="A64" s="21"/>
      <c r="B64" s="21"/>
      <c r="C64" s="21"/>
      <c r="D64" s="21"/>
      <c r="E64" s="21"/>
      <c r="F64" s="21"/>
      <c r="G64" s="21"/>
      <c r="H64" s="21"/>
      <c r="I64" s="21"/>
      <c r="J64" s="21"/>
      <c r="K64" s="21"/>
    </row>
    <row r="65" spans="1:11">
      <c r="A65" s="21"/>
      <c r="B65" s="21"/>
      <c r="C65" s="21"/>
      <c r="D65" s="21"/>
      <c r="E65" s="21"/>
      <c r="F65" s="21"/>
      <c r="G65" s="21"/>
      <c r="H65" s="21"/>
      <c r="I65" s="21"/>
      <c r="J65" s="21"/>
      <c r="K65" s="21"/>
    </row>
    <row r="66" spans="1:11">
      <c r="A66" s="21"/>
      <c r="B66" s="21"/>
      <c r="C66" s="21"/>
      <c r="D66" s="21"/>
      <c r="E66" s="21"/>
      <c r="F66" s="21"/>
      <c r="G66" s="21"/>
      <c r="H66" s="21"/>
      <c r="I66" s="21"/>
      <c r="J66" s="21"/>
      <c r="K66" s="21"/>
    </row>
    <row r="67" spans="1:11">
      <c r="A67" s="21"/>
      <c r="B67" s="21"/>
      <c r="C67" s="21"/>
      <c r="D67" s="21"/>
      <c r="E67" s="21"/>
      <c r="F67" s="21"/>
      <c r="G67" s="21"/>
      <c r="H67" s="21"/>
      <c r="I67" s="21"/>
      <c r="J67" s="21"/>
      <c r="K67" s="21"/>
    </row>
    <row r="68" spans="1:11">
      <c r="A68" s="21"/>
      <c r="B68" s="21"/>
      <c r="C68" s="21"/>
      <c r="D68" s="21"/>
      <c r="E68" s="21"/>
      <c r="F68" s="21"/>
      <c r="G68" s="21"/>
      <c r="H68" s="21"/>
      <c r="I68" s="21"/>
      <c r="J68" s="21"/>
      <c r="K68" s="21"/>
    </row>
    <row r="69" spans="1:11">
      <c r="A69" s="21"/>
      <c r="B69" s="21"/>
      <c r="C69" s="21"/>
      <c r="D69" s="21"/>
      <c r="E69" s="21"/>
      <c r="F69" s="21"/>
      <c r="G69" s="21"/>
      <c r="H69" s="21"/>
      <c r="I69" s="21"/>
      <c r="J69" s="21"/>
      <c r="K69" s="21"/>
    </row>
    <row r="70" spans="1:11">
      <c r="A70" s="21"/>
      <c r="B70" s="21"/>
      <c r="C70" s="21"/>
      <c r="D70" s="21"/>
      <c r="E70" s="21"/>
      <c r="F70" s="21"/>
      <c r="G70" s="21"/>
      <c r="H70" s="21"/>
      <c r="I70" s="21"/>
      <c r="J70" s="21"/>
      <c r="K70" s="21"/>
    </row>
    <row r="71" spans="1:11">
      <c r="A71" s="21"/>
      <c r="B71" s="21"/>
      <c r="C71" s="21"/>
      <c r="D71" s="21"/>
      <c r="E71" s="21"/>
      <c r="F71" s="21"/>
      <c r="G71" s="21"/>
      <c r="H71" s="21"/>
      <c r="I71" s="21"/>
      <c r="J71" s="21"/>
      <c r="K71" s="21"/>
    </row>
    <row r="72" spans="1:11">
      <c r="A72" s="21"/>
      <c r="B72" s="21"/>
      <c r="C72" s="21"/>
      <c r="D72" s="21"/>
      <c r="E72" s="21"/>
      <c r="F72" s="21"/>
      <c r="G72" s="21"/>
      <c r="H72" s="21"/>
      <c r="I72" s="21"/>
      <c r="J72" s="21"/>
      <c r="K72" s="21"/>
    </row>
    <row r="73" spans="1:11">
      <c r="A73" s="21"/>
      <c r="B73" s="21"/>
      <c r="C73" s="21"/>
      <c r="D73" s="21"/>
      <c r="E73" s="21"/>
      <c r="F73" s="21"/>
      <c r="G73" s="21"/>
      <c r="H73" s="21"/>
      <c r="I73" s="21"/>
      <c r="J73" s="21"/>
      <c r="K73" s="21"/>
    </row>
    <row r="74" spans="1:11">
      <c r="A74" s="21"/>
      <c r="B74" s="21"/>
      <c r="C74" s="21"/>
      <c r="D74" s="21"/>
      <c r="E74" s="21"/>
      <c r="F74" s="21"/>
      <c r="G74" s="21"/>
      <c r="H74" s="21"/>
      <c r="I74" s="21"/>
      <c r="J74" s="21"/>
      <c r="K74" s="21"/>
    </row>
    <row r="75" spans="1:11">
      <c r="A75" s="21"/>
      <c r="B75" s="21"/>
      <c r="C75" s="21"/>
      <c r="D75" s="21"/>
      <c r="E75" s="21"/>
      <c r="F75" s="21"/>
      <c r="G75" s="21"/>
      <c r="H75" s="21"/>
      <c r="I75" s="21"/>
      <c r="J75" s="21"/>
      <c r="K75" s="21"/>
    </row>
    <row r="76" spans="1:11">
      <c r="A76" s="21"/>
      <c r="B76" s="21"/>
      <c r="C76" s="21"/>
      <c r="D76" s="21"/>
      <c r="E76" s="21"/>
      <c r="F76" s="21"/>
      <c r="G76" s="21"/>
      <c r="H76" s="21"/>
      <c r="I76" s="21"/>
      <c r="J76" s="21"/>
      <c r="K76" s="21"/>
    </row>
    <row r="77" spans="1:11">
      <c r="A77" s="21"/>
      <c r="B77" s="21"/>
      <c r="C77" s="21"/>
      <c r="D77" s="21"/>
      <c r="E77" s="21"/>
      <c r="F77" s="21"/>
      <c r="G77" s="21"/>
      <c r="H77" s="21"/>
      <c r="I77" s="21"/>
      <c r="J77" s="21"/>
      <c r="K77" s="21"/>
    </row>
    <row r="78" spans="1:11">
      <c r="A78" s="21"/>
      <c r="B78" s="21"/>
      <c r="C78" s="21"/>
      <c r="D78" s="21"/>
      <c r="E78" s="21"/>
      <c r="F78" s="21"/>
      <c r="G78" s="21"/>
      <c r="H78" s="21"/>
      <c r="I78" s="21"/>
      <c r="J78" s="21"/>
      <c r="K78" s="21"/>
    </row>
    <row r="79" spans="1:11">
      <c r="A79" s="21"/>
      <c r="B79" s="21"/>
      <c r="C79" s="21"/>
      <c r="D79" s="21"/>
      <c r="E79" s="21"/>
      <c r="F79" s="21"/>
      <c r="G79" s="21"/>
      <c r="H79" s="21"/>
      <c r="I79" s="21"/>
      <c r="J79" s="21"/>
      <c r="K79" s="21"/>
    </row>
    <row r="80" spans="1:11">
      <c r="A80" s="21"/>
      <c r="B80" s="21"/>
      <c r="C80" s="21"/>
      <c r="D80" s="21"/>
      <c r="E80" s="21"/>
      <c r="F80" s="21"/>
      <c r="G80" s="21"/>
      <c r="H80" s="21"/>
      <c r="I80" s="21"/>
      <c r="J80" s="21"/>
      <c r="K80" s="21"/>
    </row>
    <row r="81" spans="1:11">
      <c r="A81" s="21"/>
      <c r="B81" s="21"/>
      <c r="C81" s="21"/>
      <c r="D81" s="21"/>
      <c r="E81" s="21"/>
      <c r="F81" s="21"/>
      <c r="G81" s="21"/>
      <c r="H81" s="21"/>
      <c r="I81" s="21"/>
      <c r="J81" s="21"/>
      <c r="K81" s="21"/>
    </row>
    <row r="82" spans="1:11">
      <c r="A82" s="21"/>
      <c r="B82" s="21"/>
      <c r="C82" s="21"/>
      <c r="D82" s="21"/>
      <c r="E82" s="21"/>
      <c r="F82" s="21"/>
      <c r="G82" s="21"/>
      <c r="H82" s="21"/>
      <c r="I82" s="21"/>
      <c r="J82" s="21"/>
      <c r="K82" s="21"/>
    </row>
    <row r="83" spans="1:11">
      <c r="A83" s="21"/>
      <c r="B83" s="21"/>
      <c r="C83" s="21"/>
      <c r="D83" s="21"/>
      <c r="E83" s="21"/>
      <c r="F83" s="21"/>
      <c r="G83" s="21"/>
      <c r="H83" s="21"/>
      <c r="I83" s="21"/>
      <c r="J83" s="21"/>
      <c r="K83" s="21"/>
    </row>
    <row r="84" spans="1:11">
      <c r="A84" s="21"/>
      <c r="B84" s="21"/>
      <c r="C84" s="21"/>
      <c r="D84" s="21"/>
      <c r="E84" s="21"/>
      <c r="F84" s="21"/>
      <c r="G84" s="21"/>
      <c r="H84" s="21"/>
      <c r="I84" s="21"/>
      <c r="J84" s="21"/>
      <c r="K84" s="21"/>
    </row>
    <row r="85" spans="1:11">
      <c r="A85" s="21"/>
      <c r="B85" s="21"/>
      <c r="C85" s="21"/>
      <c r="D85" s="21"/>
      <c r="E85" s="21"/>
      <c r="F85" s="21"/>
      <c r="G85" s="21"/>
      <c r="H85" s="21"/>
      <c r="I85" s="21"/>
      <c r="J85" s="21"/>
      <c r="K85" s="21"/>
    </row>
    <row r="86" spans="1:11">
      <c r="A86" s="21"/>
      <c r="B86" s="21"/>
      <c r="C86" s="21"/>
      <c r="D86" s="21"/>
      <c r="E86" s="21"/>
      <c r="F86" s="21"/>
      <c r="G86" s="21"/>
      <c r="H86" s="21"/>
      <c r="I86" s="21"/>
      <c r="J86" s="21"/>
      <c r="K86" s="21"/>
    </row>
    <row r="87" spans="1:11">
      <c r="A87" s="21"/>
      <c r="B87" s="21"/>
      <c r="C87" s="21"/>
      <c r="D87" s="21"/>
      <c r="E87" s="21"/>
      <c r="F87" s="21"/>
      <c r="G87" s="21"/>
      <c r="H87" s="21"/>
      <c r="I87" s="21"/>
      <c r="J87" s="21"/>
      <c r="K87" s="21"/>
    </row>
    <row r="88" spans="1:11">
      <c r="A88" s="21"/>
      <c r="B88" s="21"/>
      <c r="C88" s="21"/>
      <c r="D88" s="21"/>
      <c r="E88" s="21"/>
      <c r="F88" s="21"/>
      <c r="G88" s="21"/>
      <c r="H88" s="21"/>
      <c r="I88" s="21"/>
      <c r="J88" s="21"/>
      <c r="K88" s="21"/>
    </row>
    <row r="89" spans="1:11">
      <c r="A89" s="21"/>
      <c r="B89" s="21"/>
      <c r="C89" s="21"/>
      <c r="D89" s="21"/>
      <c r="E89" s="21"/>
      <c r="F89" s="21"/>
      <c r="G89" s="21"/>
      <c r="H89" s="21"/>
      <c r="I89" s="21"/>
      <c r="J89" s="21"/>
      <c r="K89" s="21"/>
    </row>
    <row r="90" spans="1:11">
      <c r="A90" s="21"/>
      <c r="B90" s="21"/>
      <c r="C90" s="21"/>
      <c r="D90" s="21"/>
      <c r="E90" s="21"/>
      <c r="F90" s="21"/>
      <c r="G90" s="21"/>
      <c r="H90" s="21"/>
      <c r="I90" s="21"/>
      <c r="J90" s="21"/>
      <c r="K90" s="21"/>
    </row>
    <row r="91" spans="1:11">
      <c r="A91" s="21"/>
      <c r="B91" s="21"/>
      <c r="C91" s="21"/>
      <c r="D91" s="21"/>
      <c r="E91" s="21"/>
      <c r="F91" s="21"/>
      <c r="G91" s="21"/>
      <c r="H91" s="21"/>
      <c r="I91" s="21"/>
      <c r="J91" s="21"/>
      <c r="K91" s="21"/>
    </row>
    <row r="92" spans="1:11">
      <c r="A92" s="21"/>
      <c r="B92" s="21"/>
      <c r="C92" s="21"/>
      <c r="D92" s="21"/>
      <c r="E92" s="21"/>
      <c r="F92" s="21"/>
      <c r="G92" s="21"/>
      <c r="H92" s="21"/>
      <c r="I92" s="21"/>
      <c r="J92" s="21"/>
      <c r="K92" s="21"/>
    </row>
    <row r="93" spans="1:11">
      <c r="A93" s="21"/>
      <c r="B93" s="21"/>
      <c r="C93" s="21"/>
      <c r="D93" s="21"/>
      <c r="E93" s="21"/>
      <c r="F93" s="21"/>
      <c r="G93" s="21"/>
      <c r="H93" s="21"/>
      <c r="I93" s="21"/>
      <c r="J93" s="21"/>
      <c r="K93" s="21"/>
    </row>
    <row r="94" spans="1:11">
      <c r="A94" s="21"/>
      <c r="B94" s="21"/>
      <c r="C94" s="21"/>
      <c r="D94" s="21"/>
      <c r="E94" s="21"/>
      <c r="F94" s="21"/>
      <c r="G94" s="21"/>
      <c r="H94" s="21"/>
      <c r="I94" s="21"/>
      <c r="J94" s="21"/>
      <c r="K94" s="21"/>
    </row>
  </sheetData>
  <sheetProtection formatColumns="0" formatRows="0" insertColumns="0" insertRows="0"/>
  <printOptions horizontalCentered="1"/>
  <pageMargins left="0.25" right="0.25" top="0.75" bottom="0.75" header="0.3" footer="0.3"/>
  <pageSetup orientation="landscape" r:id="rId1"/>
  <headerFooter scaleWithDoc="0">
    <oddHeader>&amp;C&amp;"-,Bold"&amp;20Rent Roll</oddHead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80577" r:id="rId4" name="Button 1">
              <controlPr defaultSize="0" print="0" autoFill="0" autoPict="0" macro="[0]!PasteImageWithBorder_ExtraPage">
                <anchor moveWithCells="1" sizeWithCells="1">
                  <from>
                    <xdr:col>12</xdr:col>
                    <xdr:colOff>312420</xdr:colOff>
                    <xdr:row>3</xdr:row>
                    <xdr:rowOff>0</xdr:rowOff>
                  </from>
                  <to>
                    <xdr:col>15</xdr:col>
                    <xdr:colOff>304800</xdr:colOff>
                    <xdr:row>6</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904AC-6C07-4D6B-B5F9-FB8B3ACAB9D2}">
  <sheetPr codeName="Sheet49">
    <tabColor theme="9" tint="-0.249977111117893"/>
  </sheetPr>
  <dimension ref="A1:K94"/>
  <sheetViews>
    <sheetView view="pageLayout" zoomScale="115" zoomScaleNormal="115" zoomScaleSheetLayoutView="130" zoomScalePageLayoutView="115" workbookViewId="0"/>
  </sheetViews>
  <sheetFormatPr defaultRowHeight="14.4"/>
  <cols>
    <col min="1" max="1" width="9.6640625" customWidth="1"/>
    <col min="11" max="11" width="9.6640625" customWidth="1"/>
  </cols>
  <sheetData>
    <row r="1" spans="1:11">
      <c r="A1" s="21"/>
      <c r="B1" s="21"/>
      <c r="C1" s="21"/>
      <c r="D1" s="21"/>
      <c r="E1" s="21"/>
      <c r="F1" s="21"/>
      <c r="G1" s="21"/>
      <c r="H1" s="21"/>
      <c r="I1" s="21"/>
      <c r="J1" s="21"/>
      <c r="K1" s="21"/>
    </row>
    <row r="2" spans="1:11">
      <c r="A2" s="21"/>
      <c r="B2" s="21"/>
      <c r="C2" s="21"/>
      <c r="D2" s="21"/>
      <c r="E2" s="21"/>
      <c r="F2" s="21"/>
      <c r="G2" s="21"/>
      <c r="H2" s="21"/>
      <c r="I2" s="21"/>
      <c r="J2" s="21"/>
      <c r="K2" s="21"/>
    </row>
    <row r="3" spans="1:11">
      <c r="A3" s="21"/>
      <c r="B3" s="21"/>
      <c r="C3" s="21"/>
      <c r="D3" s="21"/>
      <c r="E3" s="21"/>
      <c r="F3" s="21"/>
      <c r="G3" s="21"/>
      <c r="H3" s="21"/>
      <c r="I3" s="21"/>
      <c r="J3" s="21"/>
      <c r="K3" s="21"/>
    </row>
    <row r="4" spans="1:11">
      <c r="A4" s="21"/>
      <c r="B4" s="21"/>
      <c r="C4" s="21"/>
      <c r="D4" s="21"/>
      <c r="E4" s="21"/>
      <c r="F4" s="21"/>
      <c r="G4" s="21"/>
      <c r="H4" s="21"/>
      <c r="I4" s="21"/>
      <c r="J4" s="21"/>
      <c r="K4" s="21"/>
    </row>
    <row r="5" spans="1:11">
      <c r="A5" s="21"/>
      <c r="B5" s="21"/>
      <c r="C5" s="21"/>
      <c r="D5" s="21"/>
      <c r="E5" s="21"/>
      <c r="F5" s="21"/>
      <c r="G5" s="21"/>
      <c r="H5" s="21"/>
      <c r="I5" s="21"/>
      <c r="J5" s="21"/>
      <c r="K5" s="21"/>
    </row>
    <row r="6" spans="1:11">
      <c r="A6" s="21"/>
      <c r="B6" s="21"/>
      <c r="C6" s="21"/>
      <c r="D6" s="21"/>
      <c r="E6" s="21"/>
      <c r="F6" s="21"/>
      <c r="G6" s="21"/>
      <c r="H6" s="21"/>
      <c r="I6" s="21"/>
      <c r="J6" s="21"/>
      <c r="K6" s="21"/>
    </row>
    <row r="7" spans="1:11">
      <c r="A7" s="21"/>
      <c r="B7" s="21"/>
      <c r="C7" s="21"/>
      <c r="D7" s="21"/>
      <c r="E7" s="21"/>
      <c r="F7" s="21"/>
      <c r="G7" s="21"/>
      <c r="H7" s="21"/>
      <c r="I7" s="21"/>
      <c r="J7" s="21"/>
      <c r="K7" s="21"/>
    </row>
    <row r="8" spans="1:11">
      <c r="A8" s="21"/>
      <c r="B8" s="21"/>
      <c r="C8" s="21"/>
      <c r="D8" s="21"/>
      <c r="E8" s="21"/>
      <c r="F8" s="21"/>
      <c r="G8" s="21"/>
      <c r="H8" s="21"/>
      <c r="I8" s="21"/>
      <c r="J8" s="21"/>
      <c r="K8" s="21"/>
    </row>
    <row r="9" spans="1:11">
      <c r="A9" s="21"/>
      <c r="B9" s="21"/>
      <c r="C9" s="21"/>
      <c r="D9" s="21"/>
      <c r="E9" s="21"/>
      <c r="F9" s="21"/>
      <c r="G9" s="21"/>
      <c r="H9" s="21"/>
      <c r="I9" s="21"/>
      <c r="J9" s="21"/>
      <c r="K9" s="21"/>
    </row>
    <row r="10" spans="1:11">
      <c r="A10" s="21"/>
      <c r="B10" s="21"/>
      <c r="C10" s="21"/>
      <c r="D10" s="21"/>
      <c r="E10" s="21"/>
      <c r="F10" s="21"/>
      <c r="G10" s="21"/>
      <c r="H10" s="21"/>
      <c r="I10" s="21"/>
      <c r="J10" s="21"/>
      <c r="K10" s="21"/>
    </row>
    <row r="11" spans="1:11">
      <c r="A11" s="21"/>
      <c r="B11" s="21"/>
      <c r="C11" s="21"/>
      <c r="D11" s="21"/>
      <c r="E11" s="21"/>
      <c r="F11" s="21"/>
      <c r="G11" s="21"/>
      <c r="H11" s="21"/>
      <c r="I11" s="21"/>
      <c r="J11" s="21"/>
      <c r="K11" s="21"/>
    </row>
    <row r="12" spans="1:11">
      <c r="A12" s="21"/>
      <c r="B12" s="21"/>
      <c r="C12" s="21"/>
      <c r="D12" s="21"/>
      <c r="E12" s="21"/>
      <c r="F12" s="21"/>
      <c r="G12" s="21"/>
      <c r="H12" s="21"/>
      <c r="I12" s="21"/>
      <c r="J12" s="21"/>
      <c r="K12" s="21"/>
    </row>
    <row r="13" spans="1:11">
      <c r="A13" s="21"/>
      <c r="B13" s="21"/>
      <c r="C13" s="21"/>
      <c r="D13" s="21"/>
      <c r="E13" s="21"/>
      <c r="F13" s="21"/>
      <c r="G13" s="21"/>
      <c r="H13" s="21"/>
      <c r="I13" s="21"/>
      <c r="J13" s="21"/>
      <c r="K13" s="21"/>
    </row>
    <row r="14" spans="1:11">
      <c r="A14" s="21"/>
      <c r="B14" s="21"/>
      <c r="C14" s="21"/>
      <c r="D14" s="21"/>
      <c r="E14" s="21"/>
      <c r="F14" s="21"/>
      <c r="G14" s="21"/>
      <c r="H14" s="21"/>
      <c r="I14" s="21"/>
      <c r="J14" s="21"/>
      <c r="K14" s="21"/>
    </row>
    <row r="15" spans="1:11">
      <c r="A15" s="21"/>
      <c r="B15" s="21"/>
      <c r="C15" s="21"/>
      <c r="D15" s="21"/>
      <c r="E15" s="21"/>
      <c r="F15" s="21"/>
      <c r="G15" s="21"/>
      <c r="H15" s="21"/>
      <c r="I15" s="21"/>
      <c r="J15" s="21"/>
      <c r="K15" s="21"/>
    </row>
    <row r="16" spans="1:11">
      <c r="A16" s="21"/>
      <c r="B16" s="21"/>
      <c r="C16" s="21"/>
      <c r="D16" s="21"/>
      <c r="E16" s="21"/>
      <c r="F16" s="21"/>
      <c r="G16" s="21"/>
      <c r="H16" s="21"/>
      <c r="I16" s="21"/>
      <c r="J16" s="21"/>
      <c r="K16" s="21"/>
    </row>
    <row r="17" spans="1:11">
      <c r="A17" s="21"/>
      <c r="B17" s="21"/>
      <c r="C17" s="21"/>
      <c r="D17" s="21"/>
      <c r="E17" s="21"/>
      <c r="F17" s="21"/>
      <c r="G17" s="21"/>
      <c r="H17" s="21"/>
      <c r="I17" s="21"/>
      <c r="J17" s="21"/>
      <c r="K17" s="21"/>
    </row>
    <row r="18" spans="1:11">
      <c r="A18" s="21"/>
      <c r="B18" s="21"/>
      <c r="C18" s="21"/>
      <c r="D18" s="21"/>
      <c r="E18" s="21"/>
      <c r="F18" s="21"/>
      <c r="G18" s="21"/>
      <c r="H18" s="21"/>
      <c r="I18" s="21"/>
      <c r="J18" s="21"/>
      <c r="K18" s="21"/>
    </row>
    <row r="19" spans="1:11">
      <c r="A19" s="21"/>
      <c r="B19" s="21"/>
      <c r="C19" s="21"/>
      <c r="D19" s="21"/>
      <c r="E19" s="21"/>
      <c r="F19" s="21"/>
      <c r="G19" s="21"/>
      <c r="H19" s="21"/>
      <c r="I19" s="21"/>
      <c r="J19" s="21"/>
      <c r="K19" s="21"/>
    </row>
    <row r="20" spans="1:11">
      <c r="A20" s="21"/>
      <c r="B20" s="21"/>
      <c r="C20" s="21"/>
      <c r="D20" s="21"/>
      <c r="E20" s="21"/>
      <c r="F20" s="21"/>
      <c r="G20" s="21"/>
      <c r="H20" s="21"/>
      <c r="I20" s="21"/>
      <c r="J20" s="21"/>
      <c r="K20" s="21"/>
    </row>
    <row r="21" spans="1:11">
      <c r="A21" s="21"/>
      <c r="B21" s="21"/>
      <c r="C21" s="21"/>
      <c r="D21" s="21"/>
      <c r="E21" s="21"/>
      <c r="F21" s="21"/>
      <c r="G21" s="21"/>
      <c r="H21" s="21"/>
      <c r="I21" s="21"/>
      <c r="J21" s="21"/>
      <c r="K21" s="21"/>
    </row>
    <row r="22" spans="1:11">
      <c r="A22" s="21"/>
      <c r="B22" s="21"/>
      <c r="C22" s="21"/>
      <c r="D22" s="21"/>
      <c r="E22" s="21"/>
      <c r="F22" s="21"/>
      <c r="G22" s="21"/>
      <c r="H22" s="21"/>
      <c r="I22" s="21"/>
      <c r="J22" s="21"/>
      <c r="K22" s="21"/>
    </row>
    <row r="23" spans="1:11">
      <c r="A23" s="21"/>
      <c r="B23" s="21"/>
      <c r="C23" s="21"/>
      <c r="D23" s="21"/>
      <c r="E23" s="21"/>
      <c r="F23" s="21"/>
      <c r="G23" s="21"/>
      <c r="H23" s="21"/>
      <c r="I23" s="21"/>
      <c r="J23" s="21"/>
      <c r="K23" s="21"/>
    </row>
    <row r="24" spans="1:11">
      <c r="A24" s="21"/>
      <c r="B24" s="21"/>
      <c r="C24" s="21"/>
      <c r="D24" s="21"/>
      <c r="E24" s="21"/>
      <c r="F24" s="21"/>
      <c r="G24" s="21"/>
      <c r="H24" s="21"/>
      <c r="I24" s="21"/>
      <c r="J24" s="21"/>
      <c r="K24" s="21"/>
    </row>
    <row r="25" spans="1:11">
      <c r="A25" s="21"/>
      <c r="B25" s="21"/>
      <c r="C25" s="21"/>
      <c r="D25" s="21"/>
      <c r="E25" s="21"/>
      <c r="F25" s="21"/>
      <c r="G25" s="21"/>
      <c r="H25" s="21"/>
      <c r="I25" s="21"/>
      <c r="J25" s="21"/>
      <c r="K25" s="21"/>
    </row>
    <row r="26" spans="1:11">
      <c r="A26" s="21"/>
      <c r="B26" s="21"/>
      <c r="C26" s="21"/>
      <c r="D26" s="21"/>
      <c r="E26" s="21"/>
      <c r="F26" s="21"/>
      <c r="G26" s="21"/>
      <c r="H26" s="21"/>
      <c r="I26" s="21"/>
      <c r="J26" s="21"/>
      <c r="K26" s="21"/>
    </row>
    <row r="27" spans="1:11">
      <c r="A27" s="21"/>
      <c r="B27" s="21"/>
      <c r="C27" s="21"/>
      <c r="D27" s="21"/>
      <c r="E27" s="21"/>
      <c r="F27" s="21"/>
      <c r="G27" s="21"/>
      <c r="H27" s="21"/>
      <c r="I27" s="21"/>
      <c r="J27" s="21"/>
      <c r="K27" s="21"/>
    </row>
    <row r="28" spans="1:11">
      <c r="A28" s="21"/>
      <c r="B28" s="21"/>
      <c r="C28" s="21"/>
      <c r="D28" s="21"/>
      <c r="E28" s="21"/>
      <c r="F28" s="21"/>
      <c r="G28" s="21"/>
      <c r="H28" s="21"/>
      <c r="I28" s="21"/>
      <c r="J28" s="21"/>
      <c r="K28" s="21"/>
    </row>
    <row r="29" spans="1:11">
      <c r="A29" s="21"/>
      <c r="B29" s="21"/>
      <c r="C29" s="21"/>
      <c r="D29" s="21"/>
      <c r="E29" s="21"/>
      <c r="F29" s="21"/>
      <c r="G29" s="21"/>
      <c r="H29" s="21"/>
      <c r="I29" s="21"/>
      <c r="J29" s="21"/>
      <c r="K29" s="21"/>
    </row>
    <row r="30" spans="1:11">
      <c r="A30" s="21"/>
      <c r="B30" s="21"/>
      <c r="C30" s="21"/>
      <c r="D30" s="21"/>
      <c r="E30" s="21"/>
      <c r="F30" s="21"/>
      <c r="G30" s="21"/>
      <c r="H30" s="21"/>
      <c r="I30" s="21"/>
      <c r="J30" s="21"/>
      <c r="K30" s="21"/>
    </row>
    <row r="31" spans="1:11">
      <c r="A31" s="21"/>
      <c r="B31" s="21"/>
      <c r="C31" s="21"/>
      <c r="D31" s="21"/>
      <c r="E31" s="21"/>
      <c r="F31" s="21"/>
      <c r="G31" s="21"/>
      <c r="H31" s="21"/>
      <c r="I31" s="21"/>
      <c r="J31" s="21"/>
      <c r="K31" s="21"/>
    </row>
    <row r="32" spans="1:11">
      <c r="A32" s="21"/>
      <c r="B32" s="21"/>
      <c r="C32" s="21"/>
      <c r="D32" s="21"/>
      <c r="E32" s="21"/>
      <c r="F32" s="21"/>
      <c r="G32" s="21"/>
      <c r="H32" s="21"/>
      <c r="I32" s="21"/>
      <c r="J32" s="21"/>
      <c r="K32" s="21"/>
    </row>
    <row r="33" spans="1:11">
      <c r="A33" s="21"/>
      <c r="B33" s="21"/>
      <c r="C33" s="21"/>
      <c r="D33" s="21"/>
      <c r="E33" s="21"/>
      <c r="F33" s="21"/>
      <c r="G33" s="21"/>
      <c r="H33" s="21"/>
      <c r="I33" s="21"/>
      <c r="J33" s="21"/>
      <c r="K33" s="21"/>
    </row>
    <row r="34" spans="1:11">
      <c r="A34" s="21"/>
      <c r="B34" s="21"/>
      <c r="C34" s="21"/>
      <c r="D34" s="21"/>
      <c r="E34" s="21"/>
      <c r="F34" s="21"/>
      <c r="G34" s="21"/>
      <c r="H34" s="21"/>
      <c r="I34" s="21"/>
      <c r="J34" s="21"/>
      <c r="K34" s="21"/>
    </row>
    <row r="35" spans="1:11">
      <c r="A35" s="21"/>
      <c r="B35" s="21"/>
      <c r="C35" s="21"/>
      <c r="D35" s="21"/>
      <c r="E35" s="21"/>
      <c r="F35" s="21"/>
      <c r="G35" s="21"/>
      <c r="H35" s="21"/>
      <c r="I35" s="21"/>
      <c r="J35" s="21"/>
      <c r="K35" s="21"/>
    </row>
    <row r="36" spans="1:11">
      <c r="A36" s="21"/>
      <c r="B36" s="21"/>
      <c r="C36" s="21"/>
      <c r="D36" s="21"/>
      <c r="E36" s="21"/>
      <c r="F36" s="21"/>
      <c r="G36" s="21"/>
      <c r="H36" s="21"/>
      <c r="I36" s="21"/>
      <c r="J36" s="21"/>
      <c r="K36" s="21"/>
    </row>
    <row r="37" spans="1:11">
      <c r="A37" s="21"/>
      <c r="B37" s="21"/>
      <c r="C37" s="21"/>
      <c r="D37" s="21"/>
      <c r="E37" s="21"/>
      <c r="F37" s="21"/>
      <c r="G37" s="21"/>
      <c r="H37" s="21"/>
      <c r="I37" s="21"/>
      <c r="J37" s="21"/>
      <c r="K37" s="21"/>
    </row>
    <row r="38" spans="1:11">
      <c r="A38" s="21"/>
      <c r="B38" s="21"/>
      <c r="C38" s="21"/>
      <c r="D38" s="21"/>
      <c r="E38" s="21"/>
      <c r="F38" s="21"/>
      <c r="G38" s="21"/>
      <c r="H38" s="21"/>
      <c r="I38" s="21"/>
      <c r="J38" s="21"/>
      <c r="K38" s="21"/>
    </row>
    <row r="39" spans="1:11">
      <c r="A39" s="21"/>
      <c r="B39" s="21"/>
      <c r="C39" s="21"/>
      <c r="D39" s="21"/>
      <c r="E39" s="21"/>
      <c r="F39" s="21"/>
      <c r="G39" s="21"/>
      <c r="H39" s="21"/>
      <c r="I39" s="21"/>
      <c r="J39" s="21"/>
      <c r="K39" s="21"/>
    </row>
    <row r="40" spans="1:11">
      <c r="A40" s="21"/>
      <c r="B40" s="21"/>
      <c r="C40" s="21"/>
      <c r="D40" s="21"/>
      <c r="E40" s="21"/>
      <c r="F40" s="21"/>
      <c r="G40" s="21"/>
      <c r="H40" s="21"/>
      <c r="I40" s="21"/>
      <c r="J40" s="21"/>
      <c r="K40" s="21"/>
    </row>
    <row r="41" spans="1:11">
      <c r="A41" s="21"/>
      <c r="B41" s="21"/>
      <c r="C41" s="21"/>
      <c r="D41" s="21"/>
      <c r="E41" s="21"/>
      <c r="F41" s="21"/>
      <c r="G41" s="21"/>
      <c r="H41" s="21"/>
      <c r="I41" s="21"/>
      <c r="J41" s="21"/>
      <c r="K41" s="21"/>
    </row>
    <row r="42" spans="1:11">
      <c r="A42" s="21"/>
      <c r="B42" s="21"/>
      <c r="C42" s="21"/>
      <c r="D42" s="21"/>
      <c r="E42" s="21"/>
      <c r="F42" s="21"/>
      <c r="G42" s="21"/>
      <c r="H42" s="21"/>
      <c r="I42" s="21"/>
      <c r="J42" s="21"/>
      <c r="K42" s="21"/>
    </row>
    <row r="43" spans="1:11">
      <c r="A43" s="21"/>
      <c r="B43" s="21"/>
      <c r="C43" s="21"/>
      <c r="D43" s="21"/>
      <c r="E43" s="21"/>
      <c r="F43" s="21"/>
      <c r="G43" s="21"/>
      <c r="H43" s="21"/>
      <c r="I43" s="21"/>
      <c r="J43" s="21"/>
      <c r="K43" s="21"/>
    </row>
    <row r="44" spans="1:11">
      <c r="A44" s="21"/>
      <c r="B44" s="21"/>
      <c r="C44" s="21"/>
      <c r="D44" s="21"/>
      <c r="E44" s="21"/>
      <c r="F44" s="21"/>
      <c r="G44" s="21"/>
      <c r="H44" s="21"/>
      <c r="I44" s="21"/>
      <c r="J44" s="21"/>
      <c r="K44" s="21"/>
    </row>
    <row r="45" spans="1:11">
      <c r="A45" s="21"/>
      <c r="B45" s="21"/>
      <c r="C45" s="21"/>
      <c r="D45" s="21"/>
      <c r="E45" s="21"/>
      <c r="F45" s="21"/>
      <c r="G45" s="21"/>
      <c r="H45" s="21"/>
      <c r="I45" s="21"/>
      <c r="J45" s="21"/>
      <c r="K45" s="21"/>
    </row>
    <row r="46" spans="1:11">
      <c r="A46" s="21"/>
      <c r="B46" s="21"/>
      <c r="C46" s="21"/>
      <c r="D46" s="21"/>
      <c r="E46" s="21"/>
      <c r="F46" s="21"/>
      <c r="G46" s="21"/>
      <c r="H46" s="21"/>
      <c r="I46" s="21"/>
      <c r="J46" s="21"/>
      <c r="K46" s="21"/>
    </row>
    <row r="47" spans="1:11">
      <c r="A47" s="21"/>
      <c r="B47" s="21"/>
      <c r="C47" s="21"/>
      <c r="D47" s="21"/>
      <c r="E47" s="21"/>
      <c r="F47" s="21"/>
      <c r="G47" s="21"/>
      <c r="H47" s="21"/>
      <c r="I47" s="21"/>
      <c r="J47" s="21"/>
      <c r="K47" s="21"/>
    </row>
    <row r="48" spans="1:11">
      <c r="A48" s="21"/>
      <c r="B48" s="21"/>
      <c r="C48" s="21"/>
      <c r="D48" s="21"/>
      <c r="E48" s="21"/>
      <c r="F48" s="21"/>
      <c r="G48" s="21"/>
      <c r="H48" s="21"/>
      <c r="I48" s="21"/>
      <c r="J48" s="21"/>
      <c r="K48" s="21"/>
    </row>
    <row r="49" spans="1:11">
      <c r="A49" s="21"/>
      <c r="B49" s="21"/>
      <c r="C49" s="21"/>
      <c r="D49" s="21"/>
      <c r="E49" s="21"/>
      <c r="F49" s="21"/>
      <c r="G49" s="21"/>
      <c r="H49" s="21"/>
      <c r="I49" s="21"/>
      <c r="J49" s="21"/>
      <c r="K49" s="21"/>
    </row>
    <row r="50" spans="1:11">
      <c r="A50" s="21"/>
      <c r="B50" s="21"/>
      <c r="C50" s="21"/>
      <c r="D50" s="21"/>
      <c r="E50" s="21"/>
      <c r="F50" s="21"/>
      <c r="G50" s="21"/>
      <c r="H50" s="21"/>
      <c r="I50" s="21"/>
      <c r="J50" s="21"/>
      <c r="K50" s="21"/>
    </row>
    <row r="51" spans="1:11">
      <c r="A51" s="21"/>
      <c r="B51" s="21"/>
      <c r="C51" s="21"/>
      <c r="D51" s="21"/>
      <c r="E51" s="21"/>
      <c r="F51" s="21"/>
      <c r="G51" s="21"/>
      <c r="H51" s="21"/>
      <c r="I51" s="21"/>
      <c r="J51" s="21"/>
      <c r="K51" s="21"/>
    </row>
    <row r="52" spans="1:11">
      <c r="A52" s="21"/>
      <c r="B52" s="21"/>
      <c r="C52" s="21"/>
      <c r="D52" s="21"/>
      <c r="E52" s="21"/>
      <c r="F52" s="21"/>
      <c r="G52" s="21"/>
      <c r="H52" s="21"/>
      <c r="I52" s="21"/>
      <c r="J52" s="21"/>
      <c r="K52" s="21"/>
    </row>
    <row r="53" spans="1:11">
      <c r="A53" s="21"/>
      <c r="B53" s="21"/>
      <c r="C53" s="21"/>
      <c r="D53" s="21"/>
      <c r="E53" s="21"/>
      <c r="F53" s="21"/>
      <c r="G53" s="21"/>
      <c r="H53" s="21"/>
      <c r="I53" s="21"/>
      <c r="J53" s="21"/>
      <c r="K53" s="21"/>
    </row>
    <row r="54" spans="1:11">
      <c r="A54" s="21"/>
      <c r="B54" s="21"/>
      <c r="C54" s="21"/>
      <c r="D54" s="21"/>
      <c r="E54" s="21"/>
      <c r="F54" s="21"/>
      <c r="G54" s="21"/>
      <c r="H54" s="21"/>
      <c r="I54" s="21"/>
      <c r="J54" s="21"/>
      <c r="K54" s="21"/>
    </row>
    <row r="55" spans="1:11">
      <c r="A55" s="21"/>
      <c r="B55" s="21"/>
      <c r="C55" s="21"/>
      <c r="D55" s="21"/>
      <c r="E55" s="21"/>
      <c r="F55" s="21"/>
      <c r="G55" s="21"/>
      <c r="H55" s="21"/>
      <c r="I55" s="21"/>
      <c r="J55" s="21"/>
      <c r="K55" s="21"/>
    </row>
    <row r="56" spans="1:11">
      <c r="A56" s="21"/>
      <c r="B56" s="21"/>
      <c r="C56" s="21"/>
      <c r="D56" s="21"/>
      <c r="E56" s="21"/>
      <c r="F56" s="21"/>
      <c r="G56" s="21"/>
      <c r="H56" s="21"/>
      <c r="I56" s="21"/>
      <c r="J56" s="21"/>
      <c r="K56" s="21"/>
    </row>
    <row r="57" spans="1:11">
      <c r="A57" s="21"/>
      <c r="B57" s="21"/>
      <c r="C57" s="21"/>
      <c r="D57" s="21"/>
      <c r="E57" s="21"/>
      <c r="F57" s="21"/>
      <c r="G57" s="21"/>
      <c r="H57" s="21"/>
      <c r="I57" s="21"/>
      <c r="J57" s="21"/>
      <c r="K57" s="21"/>
    </row>
    <row r="58" spans="1:11">
      <c r="A58" s="21"/>
      <c r="B58" s="21"/>
      <c r="C58" s="21"/>
      <c r="D58" s="21"/>
      <c r="E58" s="21"/>
      <c r="F58" s="21"/>
      <c r="G58" s="21"/>
      <c r="H58" s="21"/>
      <c r="I58" s="21"/>
      <c r="J58" s="21"/>
      <c r="K58" s="21"/>
    </row>
    <row r="59" spans="1:11">
      <c r="A59" s="21"/>
      <c r="B59" s="21"/>
      <c r="C59" s="21"/>
      <c r="D59" s="21"/>
      <c r="E59" s="21"/>
      <c r="F59" s="21"/>
      <c r="G59" s="21"/>
      <c r="H59" s="21"/>
      <c r="I59" s="21"/>
      <c r="J59" s="21"/>
      <c r="K59" s="21"/>
    </row>
    <row r="60" spans="1:11">
      <c r="A60" s="21"/>
      <c r="B60" s="21"/>
      <c r="C60" s="21"/>
      <c r="D60" s="21"/>
      <c r="E60" s="21"/>
      <c r="F60" s="21"/>
      <c r="G60" s="21"/>
      <c r="H60" s="21"/>
      <c r="I60" s="21"/>
      <c r="J60" s="21"/>
      <c r="K60" s="21"/>
    </row>
    <row r="61" spans="1:11">
      <c r="A61" s="21"/>
      <c r="B61" s="21"/>
      <c r="C61" s="21"/>
      <c r="D61" s="21"/>
      <c r="E61" s="21"/>
      <c r="F61" s="21"/>
      <c r="G61" s="21"/>
      <c r="H61" s="21"/>
      <c r="I61" s="21"/>
      <c r="J61" s="21"/>
      <c r="K61" s="21"/>
    </row>
    <row r="62" spans="1:11">
      <c r="A62" s="21"/>
      <c r="B62" s="21"/>
      <c r="C62" s="21"/>
      <c r="D62" s="21"/>
      <c r="E62" s="21"/>
      <c r="F62" s="21"/>
      <c r="G62" s="21"/>
      <c r="H62" s="21"/>
      <c r="I62" s="21"/>
      <c r="J62" s="21"/>
      <c r="K62" s="21"/>
    </row>
    <row r="63" spans="1:11">
      <c r="A63" s="21"/>
      <c r="B63" s="21"/>
      <c r="C63" s="21"/>
      <c r="D63" s="21"/>
      <c r="E63" s="21"/>
      <c r="F63" s="21"/>
      <c r="G63" s="21"/>
      <c r="H63" s="21"/>
      <c r="I63" s="21"/>
      <c r="J63" s="21"/>
      <c r="K63" s="21"/>
    </row>
    <row r="64" spans="1:11">
      <c r="A64" s="21"/>
      <c r="B64" s="21"/>
      <c r="C64" s="21"/>
      <c r="D64" s="21"/>
      <c r="E64" s="21"/>
      <c r="F64" s="21"/>
      <c r="G64" s="21"/>
      <c r="H64" s="21"/>
      <c r="I64" s="21"/>
      <c r="J64" s="21"/>
      <c r="K64" s="21"/>
    </row>
    <row r="65" spans="1:11">
      <c r="A65" s="21"/>
      <c r="B65" s="21"/>
      <c r="C65" s="21"/>
      <c r="D65" s="21"/>
      <c r="E65" s="21"/>
      <c r="F65" s="21"/>
      <c r="G65" s="21"/>
      <c r="H65" s="21"/>
      <c r="I65" s="21"/>
      <c r="J65" s="21"/>
      <c r="K65" s="21"/>
    </row>
    <row r="66" spans="1:11">
      <c r="A66" s="21"/>
      <c r="B66" s="21"/>
      <c r="C66" s="21"/>
      <c r="D66" s="21"/>
      <c r="E66" s="21"/>
      <c r="F66" s="21"/>
      <c r="G66" s="21"/>
      <c r="H66" s="21"/>
      <c r="I66" s="21"/>
      <c r="J66" s="21"/>
      <c r="K66" s="21"/>
    </row>
    <row r="67" spans="1:11">
      <c r="A67" s="21"/>
      <c r="B67" s="21"/>
      <c r="C67" s="21"/>
      <c r="D67" s="21"/>
      <c r="E67" s="21"/>
      <c r="F67" s="21"/>
      <c r="G67" s="21"/>
      <c r="H67" s="21"/>
      <c r="I67" s="21"/>
      <c r="J67" s="21"/>
      <c r="K67" s="21"/>
    </row>
    <row r="68" spans="1:11">
      <c r="A68" s="21"/>
      <c r="B68" s="21"/>
      <c r="C68" s="21"/>
      <c r="D68" s="21"/>
      <c r="E68" s="21"/>
      <c r="F68" s="21"/>
      <c r="G68" s="21"/>
      <c r="H68" s="21"/>
      <c r="I68" s="21"/>
      <c r="J68" s="21"/>
      <c r="K68" s="21"/>
    </row>
    <row r="69" spans="1:11">
      <c r="A69" s="21"/>
      <c r="B69" s="21"/>
      <c r="C69" s="21"/>
      <c r="D69" s="21"/>
      <c r="E69" s="21"/>
      <c r="F69" s="21"/>
      <c r="G69" s="21"/>
      <c r="H69" s="21"/>
      <c r="I69" s="21"/>
      <c r="J69" s="21"/>
      <c r="K69" s="21"/>
    </row>
    <row r="70" spans="1:11">
      <c r="A70" s="21"/>
      <c r="B70" s="21"/>
      <c r="C70" s="21"/>
      <c r="D70" s="21"/>
      <c r="E70" s="21"/>
      <c r="F70" s="21"/>
      <c r="G70" s="21"/>
      <c r="H70" s="21"/>
      <c r="I70" s="21"/>
      <c r="J70" s="21"/>
      <c r="K70" s="21"/>
    </row>
    <row r="71" spans="1:11">
      <c r="A71" s="21"/>
      <c r="B71" s="21"/>
      <c r="C71" s="21"/>
      <c r="D71" s="21"/>
      <c r="E71" s="21"/>
      <c r="F71" s="21"/>
      <c r="G71" s="21"/>
      <c r="H71" s="21"/>
      <c r="I71" s="21"/>
      <c r="J71" s="21"/>
      <c r="K71" s="21"/>
    </row>
    <row r="72" spans="1:11">
      <c r="A72" s="21"/>
      <c r="B72" s="21"/>
      <c r="C72" s="21"/>
      <c r="D72" s="21"/>
      <c r="E72" s="21"/>
      <c r="F72" s="21"/>
      <c r="G72" s="21"/>
      <c r="H72" s="21"/>
      <c r="I72" s="21"/>
      <c r="J72" s="21"/>
      <c r="K72" s="21"/>
    </row>
    <row r="73" spans="1:11">
      <c r="A73" s="21"/>
      <c r="B73" s="21"/>
      <c r="C73" s="21"/>
      <c r="D73" s="21"/>
      <c r="E73" s="21"/>
      <c r="F73" s="21"/>
      <c r="G73" s="21"/>
      <c r="H73" s="21"/>
      <c r="I73" s="21"/>
      <c r="J73" s="21"/>
      <c r="K73" s="21"/>
    </row>
    <row r="74" spans="1:11">
      <c r="A74" s="21"/>
      <c r="B74" s="21"/>
      <c r="C74" s="21"/>
      <c r="D74" s="21"/>
      <c r="E74" s="21"/>
      <c r="F74" s="21"/>
      <c r="G74" s="21"/>
      <c r="H74" s="21"/>
      <c r="I74" s="21"/>
      <c r="J74" s="21"/>
      <c r="K74" s="21"/>
    </row>
    <row r="75" spans="1:11">
      <c r="A75" s="21"/>
      <c r="B75" s="21"/>
      <c r="C75" s="21"/>
      <c r="D75" s="21"/>
      <c r="E75" s="21"/>
      <c r="F75" s="21"/>
      <c r="G75" s="21"/>
      <c r="H75" s="21"/>
      <c r="I75" s="21"/>
      <c r="J75" s="21"/>
      <c r="K75" s="21"/>
    </row>
    <row r="76" spans="1:11">
      <c r="A76" s="21"/>
      <c r="B76" s="21"/>
      <c r="C76" s="21"/>
      <c r="D76" s="21"/>
      <c r="E76" s="21"/>
      <c r="F76" s="21"/>
      <c r="G76" s="21"/>
      <c r="H76" s="21"/>
      <c r="I76" s="21"/>
      <c r="J76" s="21"/>
      <c r="K76" s="21"/>
    </row>
    <row r="77" spans="1:11">
      <c r="A77" s="21"/>
      <c r="B77" s="21"/>
      <c r="C77" s="21"/>
      <c r="D77" s="21"/>
      <c r="E77" s="21"/>
      <c r="F77" s="21"/>
      <c r="G77" s="21"/>
      <c r="H77" s="21"/>
      <c r="I77" s="21"/>
      <c r="J77" s="21"/>
      <c r="K77" s="21"/>
    </row>
    <row r="78" spans="1:11">
      <c r="A78" s="21"/>
      <c r="B78" s="21"/>
      <c r="C78" s="21"/>
      <c r="D78" s="21"/>
      <c r="E78" s="21"/>
      <c r="F78" s="21"/>
      <c r="G78" s="21"/>
      <c r="H78" s="21"/>
      <c r="I78" s="21"/>
      <c r="J78" s="21"/>
      <c r="K78" s="21"/>
    </row>
    <row r="79" spans="1:11">
      <c r="A79" s="21"/>
      <c r="B79" s="21"/>
      <c r="C79" s="21"/>
      <c r="D79" s="21"/>
      <c r="E79" s="21"/>
      <c r="F79" s="21"/>
      <c r="G79" s="21"/>
      <c r="H79" s="21"/>
      <c r="I79" s="21"/>
      <c r="J79" s="21"/>
      <c r="K79" s="21"/>
    </row>
    <row r="80" spans="1:11">
      <c r="A80" s="21"/>
      <c r="B80" s="21"/>
      <c r="C80" s="21"/>
      <c r="D80" s="21"/>
      <c r="E80" s="21"/>
      <c r="F80" s="21"/>
      <c r="G80" s="21"/>
      <c r="H80" s="21"/>
      <c r="I80" s="21"/>
      <c r="J80" s="21"/>
      <c r="K80" s="21"/>
    </row>
    <row r="81" spans="1:11">
      <c r="A81" s="21"/>
      <c r="B81" s="21"/>
      <c r="C81" s="21"/>
      <c r="D81" s="21"/>
      <c r="E81" s="21"/>
      <c r="F81" s="21"/>
      <c r="G81" s="21"/>
      <c r="H81" s="21"/>
      <c r="I81" s="21"/>
      <c r="J81" s="21"/>
      <c r="K81" s="21"/>
    </row>
    <row r="82" spans="1:11">
      <c r="A82" s="21"/>
      <c r="B82" s="21"/>
      <c r="C82" s="21"/>
      <c r="D82" s="21"/>
      <c r="E82" s="21"/>
      <c r="F82" s="21"/>
      <c r="G82" s="21"/>
      <c r="H82" s="21"/>
      <c r="I82" s="21"/>
      <c r="J82" s="21"/>
      <c r="K82" s="21"/>
    </row>
    <row r="83" spans="1:11">
      <c r="A83" s="21"/>
      <c r="B83" s="21"/>
      <c r="C83" s="21"/>
      <c r="D83" s="21"/>
      <c r="E83" s="21"/>
      <c r="F83" s="21"/>
      <c r="G83" s="21"/>
      <c r="H83" s="21"/>
      <c r="I83" s="21"/>
      <c r="J83" s="21"/>
      <c r="K83" s="21"/>
    </row>
    <row r="84" spans="1:11">
      <c r="A84" s="21"/>
      <c r="B84" s="21"/>
      <c r="C84" s="21"/>
      <c r="D84" s="21"/>
      <c r="E84" s="21"/>
      <c r="F84" s="21"/>
      <c r="G84" s="21"/>
      <c r="H84" s="21"/>
      <c r="I84" s="21"/>
      <c r="J84" s="21"/>
      <c r="K84" s="21"/>
    </row>
    <row r="85" spans="1:11">
      <c r="A85" s="21"/>
      <c r="B85" s="21"/>
      <c r="C85" s="21"/>
      <c r="D85" s="21"/>
      <c r="E85" s="21"/>
      <c r="F85" s="21"/>
      <c r="G85" s="21"/>
      <c r="H85" s="21"/>
      <c r="I85" s="21"/>
      <c r="J85" s="21"/>
      <c r="K85" s="21"/>
    </row>
    <row r="86" spans="1:11">
      <c r="A86" s="21"/>
      <c r="B86" s="21"/>
      <c r="C86" s="21"/>
      <c r="D86" s="21"/>
      <c r="E86" s="21"/>
      <c r="F86" s="21"/>
      <c r="G86" s="21"/>
      <c r="H86" s="21"/>
      <c r="I86" s="21"/>
      <c r="J86" s="21"/>
      <c r="K86" s="21"/>
    </row>
    <row r="87" spans="1:11">
      <c r="A87" s="21"/>
      <c r="B87" s="21"/>
      <c r="C87" s="21"/>
      <c r="D87" s="21"/>
      <c r="E87" s="21"/>
      <c r="F87" s="21"/>
      <c r="G87" s="21"/>
      <c r="H87" s="21"/>
      <c r="I87" s="21"/>
      <c r="J87" s="21"/>
      <c r="K87" s="21"/>
    </row>
    <row r="88" spans="1:11">
      <c r="A88" s="21"/>
      <c r="B88" s="21"/>
      <c r="C88" s="21"/>
      <c r="D88" s="21"/>
      <c r="E88" s="21"/>
      <c r="F88" s="21"/>
      <c r="G88" s="21"/>
      <c r="H88" s="21"/>
      <c r="I88" s="21"/>
      <c r="J88" s="21"/>
      <c r="K88" s="21"/>
    </row>
    <row r="89" spans="1:11">
      <c r="A89" s="21"/>
      <c r="B89" s="21"/>
      <c r="C89" s="21"/>
      <c r="D89" s="21"/>
      <c r="E89" s="21"/>
      <c r="F89" s="21"/>
      <c r="G89" s="21"/>
      <c r="H89" s="21"/>
      <c r="I89" s="21"/>
      <c r="J89" s="21"/>
      <c r="K89" s="21"/>
    </row>
    <row r="90" spans="1:11">
      <c r="A90" s="21"/>
      <c r="B90" s="21"/>
      <c r="C90" s="21"/>
      <c r="D90" s="21"/>
      <c r="E90" s="21"/>
      <c r="F90" s="21"/>
      <c r="G90" s="21"/>
      <c r="H90" s="21"/>
      <c r="I90" s="21"/>
      <c r="J90" s="21"/>
      <c r="K90" s="21"/>
    </row>
    <row r="91" spans="1:11">
      <c r="A91" s="21"/>
      <c r="B91" s="21"/>
      <c r="C91" s="21"/>
      <c r="D91" s="21"/>
      <c r="E91" s="21"/>
      <c r="F91" s="21"/>
      <c r="G91" s="21"/>
      <c r="H91" s="21"/>
      <c r="I91" s="21"/>
      <c r="J91" s="21"/>
      <c r="K91" s="21"/>
    </row>
    <row r="92" spans="1:11">
      <c r="A92" s="21"/>
      <c r="B92" s="21"/>
      <c r="C92" s="21"/>
      <c r="D92" s="21"/>
      <c r="E92" s="21"/>
      <c r="F92" s="21"/>
      <c r="G92" s="21"/>
      <c r="H92" s="21"/>
      <c r="I92" s="21"/>
      <c r="J92" s="21"/>
      <c r="K92" s="21"/>
    </row>
    <row r="93" spans="1:11">
      <c r="A93" s="21"/>
      <c r="B93" s="21"/>
      <c r="C93" s="21"/>
      <c r="D93" s="21"/>
      <c r="E93" s="21"/>
      <c r="F93" s="21"/>
      <c r="G93" s="21"/>
      <c r="H93" s="21"/>
      <c r="I93" s="21"/>
      <c r="J93" s="21"/>
      <c r="K93" s="21"/>
    </row>
    <row r="94" spans="1:11">
      <c r="A94" s="21"/>
      <c r="B94" s="21"/>
      <c r="C94" s="21"/>
      <c r="D94" s="21"/>
      <c r="E94" s="21"/>
      <c r="F94" s="21"/>
      <c r="G94" s="21"/>
      <c r="H94" s="21"/>
      <c r="I94" s="21"/>
      <c r="J94" s="21"/>
      <c r="K94" s="21"/>
    </row>
  </sheetData>
  <sheetProtection formatColumns="0" formatRows="0" insertColumns="0" insertRows="0"/>
  <printOptions horizontalCentered="1"/>
  <pageMargins left="0.25" right="0.25" top="0.75" bottom="0.75" header="0.3" footer="0.3"/>
  <pageSetup orientation="portrait" r:id="rId1"/>
  <headerFooter scaleWithDoc="0">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PasteImageWithBorder_ExtraPage">
                <anchor moveWithCells="1" sizeWithCells="1">
                  <from>
                    <xdr:col>12</xdr:col>
                    <xdr:colOff>312420</xdr:colOff>
                    <xdr:row>3</xdr:row>
                    <xdr:rowOff>0</xdr:rowOff>
                  </from>
                  <to>
                    <xdr:col>15</xdr:col>
                    <xdr:colOff>304800</xdr:colOff>
                    <xdr:row>6</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2C30BC-EB77-4360-A553-C5FE5D49890C}">
  <sheetPr codeName="Sheet60">
    <tabColor theme="9" tint="-0.249977111117893"/>
  </sheetPr>
  <dimension ref="A1:O68"/>
  <sheetViews>
    <sheetView view="pageLayout" zoomScale="115" zoomScaleNormal="100" zoomScaleSheetLayoutView="115" zoomScalePageLayoutView="115" workbookViewId="0">
      <selection activeCell="D8" sqref="D8"/>
    </sheetView>
  </sheetViews>
  <sheetFormatPr defaultColWidth="8.88671875" defaultRowHeight="14.4"/>
  <cols>
    <col min="1" max="1" width="9.33203125" customWidth="1"/>
    <col min="15" max="15" width="9.33203125" customWidth="1"/>
  </cols>
  <sheetData>
    <row r="1" spans="1:15">
      <c r="A1" s="21"/>
      <c r="B1" s="21"/>
      <c r="C1" s="21"/>
      <c r="D1" s="21"/>
      <c r="E1" s="21"/>
      <c r="F1" s="21"/>
      <c r="G1" s="21"/>
      <c r="H1" s="21"/>
      <c r="I1" s="21"/>
      <c r="J1" s="21"/>
      <c r="K1" s="21"/>
      <c r="L1" s="21"/>
      <c r="M1" s="21"/>
      <c r="N1" s="21"/>
      <c r="O1" s="21"/>
    </row>
    <row r="2" spans="1:15">
      <c r="A2" s="21"/>
      <c r="B2" s="21"/>
      <c r="C2" s="21"/>
      <c r="D2" s="21"/>
      <c r="E2" s="21"/>
      <c r="F2" s="21"/>
      <c r="G2" s="21"/>
      <c r="H2" s="21"/>
      <c r="I2" s="21"/>
      <c r="J2" s="21"/>
      <c r="K2" s="21"/>
      <c r="L2" s="21"/>
      <c r="M2" s="21"/>
      <c r="N2" s="21"/>
      <c r="O2" s="21"/>
    </row>
    <row r="3" spans="1:15">
      <c r="A3" s="21"/>
      <c r="B3" s="21"/>
      <c r="C3" s="21"/>
      <c r="D3" s="21"/>
      <c r="E3" s="21"/>
      <c r="F3" s="21"/>
      <c r="G3" s="21"/>
      <c r="H3" s="21"/>
      <c r="I3" s="21"/>
      <c r="J3" s="21"/>
      <c r="K3" s="21"/>
      <c r="L3" s="21"/>
      <c r="M3" s="21"/>
      <c r="N3" s="21"/>
      <c r="O3" s="21"/>
    </row>
    <row r="4" spans="1:15">
      <c r="A4" s="21"/>
      <c r="B4" s="21"/>
      <c r="C4" s="21"/>
      <c r="D4" s="21"/>
      <c r="E4" s="21"/>
      <c r="F4" s="21"/>
      <c r="G4" s="21"/>
      <c r="H4" s="21"/>
      <c r="I4" s="21"/>
      <c r="J4" s="21"/>
      <c r="K4" s="21"/>
      <c r="L4" s="21"/>
      <c r="M4" s="21"/>
      <c r="N4" s="21"/>
      <c r="O4" s="21"/>
    </row>
    <row r="5" spans="1:15">
      <c r="A5" s="21"/>
      <c r="B5" s="21"/>
      <c r="C5" s="21"/>
      <c r="D5" s="21"/>
      <c r="E5" s="21"/>
      <c r="F5" s="21"/>
      <c r="G5" s="21"/>
      <c r="H5" s="21"/>
      <c r="I5" s="21"/>
      <c r="J5" s="21"/>
      <c r="K5" s="21"/>
      <c r="L5" s="21"/>
      <c r="M5" s="21"/>
      <c r="N5" s="21"/>
      <c r="O5" s="21"/>
    </row>
    <row r="6" spans="1:15">
      <c r="A6" s="21"/>
      <c r="B6" s="21"/>
      <c r="C6" s="21"/>
      <c r="D6" s="21"/>
      <c r="E6" s="21"/>
      <c r="F6" s="21"/>
      <c r="G6" s="21"/>
      <c r="H6" s="21"/>
      <c r="I6" s="21"/>
      <c r="J6" s="21"/>
      <c r="K6" s="21"/>
      <c r="L6" s="21"/>
      <c r="M6" s="21"/>
      <c r="N6" s="21"/>
      <c r="O6" s="21"/>
    </row>
    <row r="7" spans="1:15">
      <c r="A7" s="21"/>
      <c r="B7" s="21"/>
      <c r="C7" s="21"/>
      <c r="D7" s="21"/>
      <c r="E7" s="21"/>
      <c r="F7" s="21"/>
      <c r="G7" s="21"/>
      <c r="H7" s="21"/>
      <c r="I7" s="21"/>
      <c r="J7" s="21"/>
      <c r="K7" s="21"/>
      <c r="L7" s="21"/>
      <c r="M7" s="21"/>
      <c r="N7" s="21"/>
      <c r="O7" s="21"/>
    </row>
    <row r="8" spans="1:15">
      <c r="A8" s="21"/>
      <c r="B8" s="21"/>
      <c r="C8" s="21"/>
      <c r="D8" s="21"/>
      <c r="E8" s="21"/>
      <c r="F8" s="21"/>
      <c r="G8" s="21"/>
      <c r="H8" s="21"/>
      <c r="I8" s="21"/>
      <c r="J8" s="21"/>
      <c r="K8" s="21"/>
      <c r="L8" s="21"/>
      <c r="M8" s="21"/>
      <c r="N8" s="21"/>
      <c r="O8" s="21"/>
    </row>
    <row r="9" spans="1:15">
      <c r="A9" s="21"/>
      <c r="B9" s="21"/>
      <c r="C9" s="21"/>
      <c r="D9" s="21"/>
      <c r="E9" s="21"/>
      <c r="F9" s="21"/>
      <c r="G9" s="21"/>
      <c r="H9" s="21"/>
      <c r="I9" s="21"/>
      <c r="J9" s="21"/>
      <c r="K9" s="21"/>
      <c r="L9" s="21"/>
      <c r="M9" s="21"/>
      <c r="N9" s="21"/>
      <c r="O9" s="21"/>
    </row>
    <row r="10" spans="1:15">
      <c r="A10" s="21"/>
      <c r="B10" s="21"/>
      <c r="C10" s="21"/>
      <c r="D10" s="21"/>
      <c r="E10" s="21"/>
      <c r="F10" s="21"/>
      <c r="G10" s="21"/>
      <c r="H10" s="21"/>
      <c r="I10" s="21"/>
      <c r="J10" s="21"/>
      <c r="K10" s="21"/>
      <c r="L10" s="21"/>
      <c r="M10" s="21"/>
      <c r="N10" s="21"/>
      <c r="O10" s="21"/>
    </row>
    <row r="11" spans="1:15">
      <c r="A11" s="21"/>
      <c r="B11" s="21"/>
      <c r="C11" s="21"/>
      <c r="D11" s="21"/>
      <c r="E11" s="21"/>
      <c r="F11" s="21"/>
      <c r="G11" s="21"/>
      <c r="H11" s="21"/>
      <c r="I11" s="21"/>
      <c r="J11" s="21"/>
      <c r="K11" s="21"/>
      <c r="L11" s="21"/>
      <c r="M11" s="21"/>
      <c r="N11" s="21"/>
      <c r="O11" s="21"/>
    </row>
    <row r="12" spans="1:15">
      <c r="A12" s="21"/>
      <c r="B12" s="21"/>
      <c r="C12" s="21"/>
      <c r="D12" s="21"/>
      <c r="E12" s="21"/>
      <c r="F12" s="21"/>
      <c r="G12" s="21"/>
      <c r="H12" s="21"/>
      <c r="I12" s="21"/>
      <c r="J12" s="21"/>
      <c r="K12" s="21"/>
      <c r="L12" s="21"/>
      <c r="M12" s="21"/>
      <c r="N12" s="21"/>
      <c r="O12" s="21"/>
    </row>
    <row r="13" spans="1:15">
      <c r="A13" s="21"/>
      <c r="B13" s="21"/>
      <c r="C13" s="21"/>
      <c r="D13" s="21"/>
      <c r="E13" s="21"/>
      <c r="F13" s="21"/>
      <c r="G13" s="21"/>
      <c r="H13" s="21"/>
      <c r="I13" s="21"/>
      <c r="J13" s="21"/>
      <c r="K13" s="21"/>
      <c r="L13" s="21"/>
      <c r="M13" s="21"/>
      <c r="N13" s="21"/>
      <c r="O13" s="21"/>
    </row>
    <row r="14" spans="1:15">
      <c r="A14" s="21"/>
      <c r="B14" s="21"/>
      <c r="C14" s="21"/>
      <c r="D14" s="21"/>
      <c r="E14" s="21"/>
      <c r="F14" s="21"/>
      <c r="G14" s="21"/>
      <c r="H14" s="21"/>
      <c r="I14" s="21"/>
      <c r="J14" s="21"/>
      <c r="K14" s="21"/>
      <c r="L14" s="21"/>
      <c r="M14" s="21"/>
      <c r="N14" s="21"/>
      <c r="O14" s="21"/>
    </row>
    <row r="15" spans="1:15">
      <c r="A15" s="21"/>
      <c r="B15" s="21"/>
      <c r="C15" s="21"/>
      <c r="D15" s="21"/>
      <c r="E15" s="21"/>
      <c r="F15" s="21"/>
      <c r="G15" s="21"/>
      <c r="H15" s="21"/>
      <c r="I15" s="21"/>
      <c r="J15" s="21"/>
      <c r="K15" s="21"/>
      <c r="L15" s="21"/>
      <c r="M15" s="21"/>
      <c r="N15" s="21"/>
      <c r="O15" s="21"/>
    </row>
    <row r="16" spans="1:15">
      <c r="A16" s="21"/>
      <c r="B16" s="21"/>
      <c r="C16" s="21"/>
      <c r="D16" s="21"/>
      <c r="E16" s="21"/>
      <c r="F16" s="21"/>
      <c r="G16" s="21"/>
      <c r="H16" s="21"/>
      <c r="I16" s="21"/>
      <c r="J16" s="21"/>
      <c r="K16" s="21"/>
      <c r="L16" s="21"/>
      <c r="M16" s="21"/>
      <c r="N16" s="21"/>
      <c r="O16" s="21"/>
    </row>
    <row r="17" spans="1:15">
      <c r="A17" s="21"/>
      <c r="B17" s="21"/>
      <c r="C17" s="21"/>
      <c r="D17" s="21"/>
      <c r="E17" s="21"/>
      <c r="F17" s="21"/>
      <c r="G17" s="21"/>
      <c r="H17" s="21"/>
      <c r="I17" s="21"/>
      <c r="J17" s="21"/>
      <c r="K17" s="21"/>
      <c r="L17" s="21"/>
      <c r="M17" s="21"/>
      <c r="N17" s="21"/>
      <c r="O17" s="21"/>
    </row>
    <row r="18" spans="1:15">
      <c r="A18" s="21"/>
      <c r="B18" s="21"/>
      <c r="C18" s="21"/>
      <c r="D18" s="21"/>
      <c r="E18" s="21"/>
      <c r="F18" s="21"/>
      <c r="G18" s="21"/>
      <c r="H18" s="21"/>
      <c r="I18" s="21"/>
      <c r="J18" s="21"/>
      <c r="K18" s="21"/>
      <c r="L18" s="21"/>
      <c r="M18" s="21"/>
      <c r="N18" s="21"/>
      <c r="O18" s="21"/>
    </row>
    <row r="19" spans="1:15">
      <c r="A19" s="21"/>
      <c r="B19" s="21"/>
      <c r="C19" s="21"/>
      <c r="D19" s="21"/>
      <c r="E19" s="21"/>
      <c r="F19" s="21"/>
      <c r="G19" s="21"/>
      <c r="H19" s="21"/>
      <c r="I19" s="21"/>
      <c r="J19" s="21"/>
      <c r="K19" s="21"/>
      <c r="L19" s="21"/>
      <c r="M19" s="21"/>
      <c r="N19" s="21"/>
      <c r="O19" s="21"/>
    </row>
    <row r="20" spans="1:15">
      <c r="A20" s="21"/>
      <c r="B20" s="21"/>
      <c r="C20" s="21"/>
      <c r="D20" s="21"/>
      <c r="E20" s="21"/>
      <c r="F20" s="21"/>
      <c r="G20" s="21"/>
      <c r="H20" s="21"/>
      <c r="I20" s="21"/>
      <c r="J20" s="21"/>
      <c r="K20" s="21"/>
      <c r="L20" s="21"/>
      <c r="M20" s="21"/>
      <c r="N20" s="21"/>
      <c r="O20" s="21"/>
    </row>
    <row r="21" spans="1:15">
      <c r="A21" s="21"/>
      <c r="B21" s="21"/>
      <c r="C21" s="21"/>
      <c r="D21" s="21"/>
      <c r="E21" s="21"/>
      <c r="F21" s="21"/>
      <c r="G21" s="21"/>
      <c r="H21" s="21"/>
      <c r="I21" s="21"/>
      <c r="J21" s="21"/>
      <c r="K21" s="21"/>
      <c r="L21" s="21"/>
      <c r="M21" s="21"/>
      <c r="N21" s="21"/>
      <c r="O21" s="21"/>
    </row>
    <row r="22" spans="1:15">
      <c r="A22" s="21"/>
      <c r="B22" s="21"/>
      <c r="C22" s="21"/>
      <c r="D22" s="21"/>
      <c r="E22" s="21"/>
      <c r="F22" s="21"/>
      <c r="G22" s="21"/>
      <c r="H22" s="21"/>
      <c r="I22" s="21"/>
      <c r="J22" s="21"/>
      <c r="K22" s="21"/>
      <c r="L22" s="21"/>
      <c r="M22" s="21"/>
      <c r="N22" s="21"/>
      <c r="O22" s="21"/>
    </row>
    <row r="23" spans="1:15">
      <c r="A23" s="21"/>
      <c r="B23" s="21"/>
      <c r="C23" s="21"/>
      <c r="D23" s="21"/>
      <c r="E23" s="21"/>
      <c r="F23" s="21"/>
      <c r="G23" s="21"/>
      <c r="H23" s="21"/>
      <c r="I23" s="21"/>
      <c r="J23" s="21"/>
      <c r="K23" s="21"/>
      <c r="L23" s="21"/>
      <c r="M23" s="21"/>
      <c r="N23" s="21"/>
      <c r="O23" s="21"/>
    </row>
    <row r="24" spans="1:15">
      <c r="A24" s="21"/>
      <c r="B24" s="21"/>
      <c r="C24" s="21"/>
      <c r="D24" s="21"/>
      <c r="E24" s="21"/>
      <c r="F24" s="21"/>
      <c r="G24" s="21"/>
      <c r="H24" s="21"/>
      <c r="I24" s="21"/>
      <c r="J24" s="21"/>
      <c r="K24" s="21"/>
      <c r="L24" s="21"/>
      <c r="M24" s="21"/>
      <c r="N24" s="21"/>
      <c r="O24" s="21"/>
    </row>
    <row r="25" spans="1:15">
      <c r="A25" s="21"/>
      <c r="B25" s="21"/>
      <c r="C25" s="21"/>
      <c r="D25" s="21"/>
      <c r="E25" s="21"/>
      <c r="F25" s="21"/>
      <c r="G25" s="21"/>
      <c r="H25" s="21"/>
      <c r="I25" s="21"/>
      <c r="J25" s="21"/>
      <c r="K25" s="21"/>
      <c r="L25" s="21"/>
      <c r="M25" s="21"/>
      <c r="N25" s="21"/>
      <c r="O25" s="21"/>
    </row>
    <row r="26" spans="1:15">
      <c r="A26" s="21"/>
      <c r="B26" s="21"/>
      <c r="C26" s="21"/>
      <c r="D26" s="21"/>
      <c r="E26" s="21"/>
      <c r="F26" s="21"/>
      <c r="G26" s="21"/>
      <c r="H26" s="21"/>
      <c r="I26" s="21"/>
      <c r="J26" s="21"/>
      <c r="K26" s="21"/>
      <c r="L26" s="21"/>
      <c r="M26" s="21"/>
      <c r="N26" s="21"/>
      <c r="O26" s="21"/>
    </row>
    <row r="27" spans="1:15">
      <c r="A27" s="21"/>
      <c r="B27" s="21"/>
      <c r="C27" s="21"/>
      <c r="D27" s="21"/>
      <c r="E27" s="21"/>
      <c r="F27" s="21"/>
      <c r="G27" s="21"/>
      <c r="H27" s="21"/>
      <c r="I27" s="21"/>
      <c r="J27" s="21"/>
      <c r="K27" s="21"/>
      <c r="L27" s="21"/>
      <c r="M27" s="21"/>
      <c r="N27" s="21"/>
      <c r="O27" s="21"/>
    </row>
    <row r="28" spans="1:15">
      <c r="A28" s="21"/>
      <c r="B28" s="21"/>
      <c r="C28" s="21"/>
      <c r="D28" s="21"/>
      <c r="E28" s="21"/>
      <c r="F28" s="21"/>
      <c r="G28" s="21"/>
      <c r="H28" s="21"/>
      <c r="I28" s="21"/>
      <c r="J28" s="21"/>
      <c r="K28" s="21"/>
      <c r="L28" s="21"/>
      <c r="M28" s="21"/>
      <c r="N28" s="21"/>
      <c r="O28" s="21"/>
    </row>
    <row r="29" spans="1:15">
      <c r="A29" s="21"/>
      <c r="B29" s="21"/>
      <c r="C29" s="21"/>
      <c r="D29" s="21"/>
      <c r="E29" s="21"/>
      <c r="F29" s="21"/>
      <c r="G29" s="21"/>
      <c r="H29" s="21"/>
      <c r="I29" s="21"/>
      <c r="J29" s="21"/>
      <c r="K29" s="21"/>
      <c r="L29" s="21"/>
      <c r="M29" s="21"/>
      <c r="N29" s="21"/>
      <c r="O29" s="21"/>
    </row>
    <row r="30" spans="1:15">
      <c r="A30" s="21"/>
      <c r="B30" s="21"/>
      <c r="C30" s="21"/>
      <c r="D30" s="21"/>
      <c r="E30" s="21"/>
      <c r="F30" s="21"/>
      <c r="G30" s="21"/>
      <c r="H30" s="21"/>
      <c r="I30" s="21"/>
      <c r="J30" s="21"/>
      <c r="K30" s="21"/>
      <c r="L30" s="21"/>
      <c r="M30" s="21"/>
      <c r="N30" s="21"/>
      <c r="O30" s="21"/>
    </row>
    <row r="31" spans="1:15">
      <c r="A31" s="21"/>
      <c r="B31" s="21"/>
      <c r="C31" s="21"/>
      <c r="D31" s="21"/>
      <c r="E31" s="21"/>
      <c r="F31" s="21"/>
      <c r="G31" s="21"/>
      <c r="H31" s="21"/>
      <c r="I31" s="21"/>
      <c r="J31" s="21"/>
      <c r="K31" s="21"/>
      <c r="L31" s="21"/>
      <c r="M31" s="21"/>
      <c r="N31" s="21"/>
      <c r="O31" s="21"/>
    </row>
    <row r="32" spans="1:15">
      <c r="A32" s="21"/>
      <c r="B32" s="21"/>
      <c r="C32" s="21"/>
      <c r="D32" s="21"/>
      <c r="E32" s="21"/>
      <c r="F32" s="21"/>
      <c r="G32" s="21"/>
      <c r="H32" s="21"/>
      <c r="I32" s="21"/>
      <c r="J32" s="21"/>
      <c r="K32" s="21"/>
      <c r="L32" s="21"/>
      <c r="M32" s="21"/>
      <c r="N32" s="21"/>
      <c r="O32" s="21"/>
    </row>
    <row r="33" spans="1:15">
      <c r="A33" s="21"/>
      <c r="B33" s="21"/>
      <c r="C33" s="21"/>
      <c r="D33" s="21"/>
      <c r="E33" s="21"/>
      <c r="F33" s="21"/>
      <c r="G33" s="21"/>
      <c r="H33" s="21"/>
      <c r="I33" s="21"/>
      <c r="J33" s="21"/>
      <c r="K33" s="21"/>
      <c r="L33" s="21"/>
      <c r="M33" s="21"/>
      <c r="N33" s="21"/>
      <c r="O33" s="21"/>
    </row>
    <row r="34" spans="1:15">
      <c r="A34" s="21"/>
      <c r="B34" s="21"/>
      <c r="C34" s="21"/>
      <c r="D34" s="21"/>
      <c r="E34" s="21"/>
      <c r="F34" s="21"/>
      <c r="G34" s="21"/>
      <c r="H34" s="21"/>
      <c r="I34" s="21"/>
      <c r="J34" s="21"/>
      <c r="K34" s="21"/>
      <c r="L34" s="21"/>
      <c r="M34" s="21"/>
      <c r="N34" s="21"/>
      <c r="O34" s="21"/>
    </row>
    <row r="35" spans="1:15">
      <c r="A35" s="21"/>
      <c r="B35" s="21"/>
      <c r="C35" s="21"/>
      <c r="D35" s="21"/>
      <c r="E35" s="21"/>
      <c r="F35" s="21"/>
      <c r="G35" s="21"/>
      <c r="H35" s="21"/>
      <c r="I35" s="21"/>
      <c r="J35" s="21"/>
      <c r="K35" s="21"/>
      <c r="L35" s="21"/>
      <c r="M35" s="21"/>
      <c r="N35" s="21"/>
      <c r="O35" s="21"/>
    </row>
    <row r="36" spans="1:15">
      <c r="A36" s="21"/>
      <c r="B36" s="21"/>
      <c r="C36" s="21"/>
      <c r="D36" s="21"/>
      <c r="E36" s="21"/>
      <c r="F36" s="21"/>
      <c r="G36" s="21"/>
      <c r="H36" s="21"/>
      <c r="I36" s="21"/>
      <c r="J36" s="21"/>
      <c r="K36" s="21"/>
      <c r="L36" s="21"/>
      <c r="M36" s="21"/>
      <c r="N36" s="21"/>
      <c r="O36" s="21"/>
    </row>
    <row r="37" spans="1:15">
      <c r="A37" s="21"/>
      <c r="B37" s="21"/>
      <c r="C37" s="21"/>
      <c r="D37" s="21"/>
      <c r="E37" s="21"/>
      <c r="F37" s="21"/>
      <c r="G37" s="21"/>
      <c r="H37" s="21"/>
      <c r="I37" s="21"/>
      <c r="J37" s="21"/>
      <c r="K37" s="21"/>
      <c r="L37" s="21"/>
      <c r="M37" s="21"/>
      <c r="N37" s="21"/>
      <c r="O37" s="21"/>
    </row>
    <row r="38" spans="1:15">
      <c r="A38" s="21"/>
      <c r="B38" s="21"/>
      <c r="C38" s="21"/>
      <c r="D38" s="21"/>
      <c r="E38" s="21"/>
      <c r="F38" s="21"/>
      <c r="G38" s="21"/>
      <c r="H38" s="21"/>
      <c r="I38" s="21"/>
      <c r="J38" s="21"/>
      <c r="K38" s="21"/>
      <c r="L38" s="21"/>
      <c r="M38" s="21"/>
      <c r="N38" s="21"/>
      <c r="O38" s="21"/>
    </row>
    <row r="39" spans="1:15">
      <c r="A39" s="21"/>
      <c r="B39" s="21"/>
      <c r="C39" s="21"/>
      <c r="D39" s="21"/>
      <c r="E39" s="21"/>
      <c r="F39" s="21"/>
      <c r="G39" s="21"/>
      <c r="H39" s="21"/>
      <c r="I39" s="21"/>
      <c r="J39" s="21"/>
      <c r="K39" s="21"/>
      <c r="L39" s="21"/>
      <c r="M39" s="21"/>
      <c r="N39" s="21"/>
      <c r="O39" s="21"/>
    </row>
    <row r="40" spans="1:15">
      <c r="A40" s="21"/>
      <c r="B40" s="21"/>
      <c r="C40" s="21"/>
      <c r="D40" s="21"/>
      <c r="E40" s="21"/>
      <c r="F40" s="21"/>
      <c r="G40" s="21"/>
      <c r="H40" s="21"/>
      <c r="I40" s="21"/>
      <c r="J40" s="21"/>
      <c r="K40" s="21"/>
      <c r="L40" s="21"/>
      <c r="M40" s="21"/>
      <c r="N40" s="21"/>
      <c r="O40" s="21"/>
    </row>
    <row r="41" spans="1:15">
      <c r="A41" s="21"/>
      <c r="B41" s="21"/>
      <c r="C41" s="21"/>
      <c r="D41" s="21"/>
      <c r="E41" s="21"/>
      <c r="F41" s="21"/>
      <c r="G41" s="21"/>
      <c r="H41" s="21"/>
      <c r="I41" s="21"/>
      <c r="J41" s="21"/>
      <c r="K41" s="21"/>
      <c r="L41" s="21"/>
      <c r="M41" s="21"/>
      <c r="N41" s="21"/>
      <c r="O41" s="21"/>
    </row>
    <row r="42" spans="1:15">
      <c r="A42" s="21"/>
      <c r="B42" s="21"/>
      <c r="C42" s="21"/>
      <c r="D42" s="21"/>
      <c r="E42" s="21"/>
      <c r="F42" s="21"/>
      <c r="G42" s="21"/>
      <c r="H42" s="21"/>
      <c r="I42" s="21"/>
      <c r="J42" s="21"/>
      <c r="K42" s="21"/>
      <c r="L42" s="21"/>
      <c r="M42" s="21"/>
      <c r="N42" s="21"/>
      <c r="O42" s="21"/>
    </row>
    <row r="43" spans="1:15">
      <c r="A43" s="21"/>
      <c r="B43" s="21"/>
      <c r="C43" s="21"/>
      <c r="D43" s="21"/>
      <c r="E43" s="21"/>
      <c r="F43" s="21"/>
      <c r="G43" s="21"/>
      <c r="H43" s="21"/>
      <c r="I43" s="21"/>
      <c r="J43" s="21"/>
      <c r="K43" s="21"/>
      <c r="L43" s="21"/>
      <c r="M43" s="21"/>
      <c r="N43" s="21"/>
      <c r="O43" s="21"/>
    </row>
    <row r="44" spans="1:15">
      <c r="A44" s="21"/>
      <c r="B44" s="21"/>
      <c r="C44" s="21"/>
      <c r="D44" s="21"/>
      <c r="E44" s="21"/>
      <c r="F44" s="21"/>
      <c r="G44" s="21"/>
      <c r="H44" s="21"/>
      <c r="I44" s="21"/>
      <c r="J44" s="21"/>
      <c r="K44" s="21"/>
      <c r="L44" s="21"/>
      <c r="M44" s="21"/>
      <c r="N44" s="21"/>
      <c r="O44" s="21"/>
    </row>
    <row r="45" spans="1:15">
      <c r="A45" s="21"/>
      <c r="B45" s="21"/>
      <c r="C45" s="21"/>
      <c r="D45" s="21"/>
      <c r="E45" s="21"/>
      <c r="F45" s="21"/>
      <c r="G45" s="21"/>
      <c r="H45" s="21"/>
      <c r="I45" s="21"/>
      <c r="J45" s="21"/>
      <c r="K45" s="21"/>
      <c r="L45" s="21"/>
      <c r="M45" s="21"/>
      <c r="N45" s="21"/>
      <c r="O45" s="21"/>
    </row>
    <row r="46" spans="1:15">
      <c r="A46" s="21"/>
      <c r="B46" s="21"/>
      <c r="C46" s="21"/>
      <c r="D46" s="21"/>
      <c r="E46" s="21"/>
      <c r="F46" s="21"/>
      <c r="G46" s="21"/>
      <c r="H46" s="21"/>
      <c r="I46" s="21"/>
      <c r="J46" s="21"/>
      <c r="K46" s="21"/>
      <c r="L46" s="21"/>
      <c r="M46" s="21"/>
      <c r="N46" s="21"/>
      <c r="O46" s="21"/>
    </row>
    <row r="47" spans="1:15">
      <c r="A47" s="21"/>
      <c r="B47" s="21"/>
      <c r="C47" s="21"/>
      <c r="D47" s="21"/>
      <c r="E47" s="21"/>
      <c r="F47" s="21"/>
      <c r="G47" s="21"/>
      <c r="H47" s="21"/>
      <c r="I47" s="21"/>
      <c r="J47" s="21"/>
      <c r="K47" s="21"/>
      <c r="L47" s="21"/>
      <c r="M47" s="21"/>
      <c r="N47" s="21"/>
      <c r="O47" s="21"/>
    </row>
    <row r="48" spans="1:15">
      <c r="A48" s="21"/>
      <c r="B48" s="21"/>
      <c r="C48" s="21"/>
      <c r="D48" s="21"/>
      <c r="E48" s="21"/>
      <c r="F48" s="21"/>
      <c r="G48" s="21"/>
      <c r="H48" s="21"/>
      <c r="I48" s="21"/>
      <c r="J48" s="21"/>
      <c r="K48" s="21"/>
      <c r="L48" s="21"/>
      <c r="M48" s="21"/>
      <c r="N48" s="21"/>
      <c r="O48" s="21"/>
    </row>
    <row r="49" spans="1:15">
      <c r="A49" s="21"/>
      <c r="B49" s="21"/>
      <c r="C49" s="21"/>
      <c r="D49" s="21"/>
      <c r="E49" s="21"/>
      <c r="F49" s="21"/>
      <c r="G49" s="21"/>
      <c r="H49" s="21"/>
      <c r="I49" s="21"/>
      <c r="J49" s="21"/>
      <c r="K49" s="21"/>
      <c r="L49" s="21"/>
      <c r="M49" s="21"/>
      <c r="N49" s="21"/>
      <c r="O49" s="21"/>
    </row>
    <row r="50" spans="1:15">
      <c r="A50" s="21"/>
      <c r="B50" s="21"/>
      <c r="C50" s="21"/>
      <c r="D50" s="21"/>
      <c r="E50" s="21"/>
      <c r="F50" s="21"/>
      <c r="G50" s="21"/>
      <c r="H50" s="21"/>
      <c r="I50" s="21"/>
      <c r="J50" s="21"/>
      <c r="K50" s="21"/>
      <c r="L50" s="21"/>
      <c r="M50" s="21"/>
      <c r="N50" s="21"/>
      <c r="O50" s="21"/>
    </row>
    <row r="51" spans="1:15">
      <c r="A51" s="21"/>
      <c r="B51" s="21"/>
      <c r="C51" s="21"/>
      <c r="D51" s="21"/>
      <c r="E51" s="21"/>
      <c r="F51" s="21"/>
      <c r="G51" s="21"/>
      <c r="H51" s="21"/>
      <c r="I51" s="21"/>
      <c r="J51" s="21"/>
      <c r="K51" s="21"/>
      <c r="L51" s="21"/>
      <c r="M51" s="21"/>
      <c r="N51" s="21"/>
      <c r="O51" s="21"/>
    </row>
    <row r="52" spans="1:15">
      <c r="A52" s="21"/>
      <c r="B52" s="21"/>
      <c r="C52" s="21"/>
      <c r="D52" s="21"/>
      <c r="E52" s="21"/>
      <c r="F52" s="21"/>
      <c r="G52" s="21"/>
      <c r="H52" s="21"/>
      <c r="I52" s="21"/>
      <c r="J52" s="21"/>
      <c r="K52" s="21"/>
      <c r="L52" s="21"/>
      <c r="M52" s="21"/>
      <c r="N52" s="21"/>
      <c r="O52" s="21"/>
    </row>
    <row r="53" spans="1:15">
      <c r="A53" s="21"/>
      <c r="B53" s="21"/>
      <c r="C53" s="21"/>
      <c r="D53" s="21"/>
      <c r="E53" s="21"/>
      <c r="F53" s="21"/>
      <c r="G53" s="21"/>
      <c r="H53" s="21"/>
      <c r="I53" s="21"/>
      <c r="J53" s="21"/>
      <c r="K53" s="21"/>
      <c r="L53" s="21"/>
      <c r="M53" s="21"/>
      <c r="N53" s="21"/>
      <c r="O53" s="21"/>
    </row>
    <row r="54" spans="1:15">
      <c r="A54" s="21"/>
      <c r="B54" s="21"/>
      <c r="C54" s="21"/>
      <c r="D54" s="21"/>
      <c r="E54" s="21"/>
      <c r="F54" s="21"/>
      <c r="G54" s="21"/>
      <c r="H54" s="21"/>
      <c r="I54" s="21"/>
      <c r="J54" s="21"/>
      <c r="K54" s="21"/>
      <c r="L54" s="21"/>
      <c r="M54" s="21"/>
      <c r="N54" s="21"/>
      <c r="O54" s="21"/>
    </row>
    <row r="55" spans="1:15">
      <c r="A55" s="21"/>
      <c r="B55" s="21"/>
      <c r="C55" s="21"/>
      <c r="D55" s="21"/>
      <c r="E55" s="21"/>
      <c r="F55" s="21"/>
      <c r="G55" s="21"/>
      <c r="H55" s="21"/>
      <c r="I55" s="21"/>
      <c r="J55" s="21"/>
      <c r="K55" s="21"/>
      <c r="L55" s="21"/>
      <c r="M55" s="21"/>
      <c r="N55" s="21"/>
      <c r="O55" s="21"/>
    </row>
    <row r="56" spans="1:15">
      <c r="A56" s="21"/>
      <c r="B56" s="21"/>
      <c r="C56" s="21"/>
      <c r="D56" s="21"/>
      <c r="E56" s="21"/>
      <c r="F56" s="21"/>
      <c r="G56" s="21"/>
      <c r="H56" s="21"/>
      <c r="I56" s="21"/>
      <c r="J56" s="21"/>
      <c r="K56" s="21"/>
      <c r="L56" s="21"/>
      <c r="M56" s="21"/>
      <c r="N56" s="21"/>
      <c r="O56" s="21"/>
    </row>
    <row r="57" spans="1:15">
      <c r="A57" s="21"/>
      <c r="B57" s="21"/>
      <c r="C57" s="21"/>
      <c r="D57" s="21"/>
      <c r="E57" s="21"/>
      <c r="F57" s="21"/>
      <c r="G57" s="21"/>
      <c r="H57" s="21"/>
      <c r="I57" s="21"/>
      <c r="J57" s="21"/>
      <c r="K57" s="21"/>
      <c r="L57" s="21"/>
      <c r="M57" s="21"/>
      <c r="N57" s="21"/>
      <c r="O57" s="21"/>
    </row>
    <row r="58" spans="1:15">
      <c r="A58" s="21"/>
      <c r="B58" s="21"/>
      <c r="C58" s="21"/>
      <c r="D58" s="21"/>
      <c r="E58" s="21"/>
      <c r="F58" s="21"/>
      <c r="G58" s="21"/>
      <c r="H58" s="21"/>
      <c r="I58" s="21"/>
      <c r="J58" s="21"/>
      <c r="K58" s="21"/>
      <c r="L58" s="21"/>
      <c r="M58" s="21"/>
      <c r="N58" s="21"/>
      <c r="O58" s="21"/>
    </row>
    <row r="59" spans="1:15">
      <c r="A59" s="21"/>
      <c r="B59" s="21"/>
      <c r="C59" s="21"/>
      <c r="D59" s="21"/>
      <c r="E59" s="21"/>
      <c r="F59" s="21"/>
      <c r="G59" s="21"/>
      <c r="H59" s="21"/>
      <c r="I59" s="21"/>
      <c r="J59" s="21"/>
      <c r="K59" s="21"/>
      <c r="L59" s="21"/>
      <c r="M59" s="21"/>
      <c r="N59" s="21"/>
      <c r="O59" s="21"/>
    </row>
    <row r="60" spans="1:15">
      <c r="A60" s="21"/>
      <c r="B60" s="21"/>
      <c r="C60" s="21"/>
      <c r="D60" s="21"/>
      <c r="E60" s="21"/>
      <c r="F60" s="21"/>
      <c r="G60" s="21"/>
      <c r="H60" s="21"/>
      <c r="I60" s="21"/>
      <c r="J60" s="21"/>
      <c r="K60" s="21"/>
      <c r="L60" s="21"/>
      <c r="M60" s="21"/>
      <c r="N60" s="21"/>
      <c r="O60" s="21"/>
    </row>
    <row r="61" spans="1:15">
      <c r="A61" s="21"/>
      <c r="B61" s="21"/>
      <c r="C61" s="21"/>
      <c r="D61" s="21"/>
      <c r="E61" s="21"/>
      <c r="F61" s="21"/>
      <c r="G61" s="21"/>
      <c r="H61" s="21"/>
      <c r="I61" s="21"/>
      <c r="J61" s="21"/>
      <c r="K61" s="21"/>
      <c r="L61" s="21"/>
      <c r="M61" s="21"/>
      <c r="N61" s="21"/>
      <c r="O61" s="21"/>
    </row>
    <row r="62" spans="1:15">
      <c r="A62" s="21"/>
      <c r="B62" s="21"/>
      <c r="C62" s="21"/>
      <c r="D62" s="21"/>
      <c r="E62" s="21"/>
      <c r="F62" s="21"/>
      <c r="G62" s="21"/>
      <c r="H62" s="21"/>
      <c r="I62" s="21"/>
      <c r="J62" s="21"/>
      <c r="K62" s="21"/>
      <c r="L62" s="21"/>
      <c r="M62" s="21"/>
      <c r="N62" s="21"/>
      <c r="O62" s="21"/>
    </row>
    <row r="63" spans="1:15">
      <c r="A63" s="21"/>
      <c r="B63" s="21"/>
      <c r="C63" s="21"/>
      <c r="D63" s="21"/>
      <c r="E63" s="21"/>
      <c r="F63" s="21"/>
      <c r="G63" s="21"/>
      <c r="H63" s="21"/>
      <c r="I63" s="21"/>
      <c r="J63" s="21"/>
      <c r="K63" s="21"/>
      <c r="L63" s="21"/>
      <c r="M63" s="21"/>
      <c r="N63" s="21"/>
      <c r="O63" s="21"/>
    </row>
    <row r="64" spans="1:15">
      <c r="A64" s="21"/>
      <c r="B64" s="21"/>
      <c r="C64" s="21"/>
      <c r="D64" s="21"/>
      <c r="E64" s="21"/>
      <c r="F64" s="21"/>
      <c r="G64" s="21"/>
      <c r="H64" s="21"/>
      <c r="I64" s="21"/>
      <c r="J64" s="21"/>
      <c r="K64" s="21"/>
      <c r="L64" s="21"/>
      <c r="M64" s="21"/>
      <c r="N64" s="21"/>
      <c r="O64" s="21"/>
    </row>
    <row r="65" spans="1:15">
      <c r="A65" s="21"/>
      <c r="B65" s="21"/>
      <c r="C65" s="21"/>
      <c r="D65" s="21"/>
      <c r="E65" s="21"/>
      <c r="F65" s="21"/>
      <c r="G65" s="21"/>
      <c r="H65" s="21"/>
      <c r="I65" s="21"/>
      <c r="J65" s="21"/>
      <c r="K65" s="21"/>
      <c r="L65" s="21"/>
      <c r="M65" s="21"/>
      <c r="N65" s="21"/>
      <c r="O65" s="21"/>
    </row>
    <row r="66" spans="1:15">
      <c r="A66" s="21"/>
      <c r="B66" s="21"/>
      <c r="C66" s="21"/>
      <c r="D66" s="21"/>
      <c r="E66" s="21"/>
      <c r="F66" s="21"/>
      <c r="G66" s="21"/>
      <c r="H66" s="21"/>
      <c r="I66" s="21"/>
      <c r="J66" s="21"/>
      <c r="K66" s="21"/>
      <c r="L66" s="21"/>
      <c r="M66" s="21"/>
      <c r="N66" s="21"/>
      <c r="O66" s="21"/>
    </row>
    <row r="67" spans="1:15">
      <c r="A67" s="21"/>
      <c r="B67" s="21"/>
      <c r="C67" s="21"/>
      <c r="D67" s="21"/>
      <c r="E67" s="21"/>
      <c r="F67" s="21"/>
      <c r="G67" s="21"/>
      <c r="H67" s="21"/>
      <c r="I67" s="21"/>
      <c r="J67" s="21"/>
      <c r="K67" s="21"/>
      <c r="L67" s="21"/>
      <c r="M67" s="21"/>
      <c r="N67" s="21"/>
      <c r="O67" s="21"/>
    </row>
    <row r="68" spans="1:15">
      <c r="A68" s="21"/>
      <c r="B68" s="21"/>
      <c r="C68" s="21"/>
      <c r="D68" s="21"/>
      <c r="E68" s="21"/>
      <c r="F68" s="21"/>
      <c r="G68" s="21"/>
      <c r="H68" s="21"/>
      <c r="I68" s="21"/>
      <c r="J68" s="21"/>
      <c r="K68" s="21"/>
      <c r="L68" s="21"/>
      <c r="M68" s="21"/>
      <c r="N68" s="21"/>
      <c r="O68" s="21"/>
    </row>
  </sheetData>
  <sheetProtection formatColumns="0" formatRows="0" insertColumns="0" insertRows="0"/>
  <printOptions horizontalCentered="1"/>
  <pageMargins left="0.25" right="0.25" top="0.75" bottom="0.75" header="0.3" footer="0.3"/>
  <pageSetup scale="97" orientation="portrait" r:id="rId1"/>
  <headerFooter scaleWithDoc="0">
    <oddHeader>&amp;C&amp;"-,Bold"&amp;20Lease Rate Comps</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324609" r:id="rId4" name="Button 1">
              <controlPr defaultSize="0" print="0" autoFill="0" autoPict="0" macro="[0]!PasteImageWithBorder_ExtraPage">
                <anchor moveWithCells="1" sizeWithCells="1">
                  <from>
                    <xdr:col>16</xdr:col>
                    <xdr:colOff>0</xdr:colOff>
                    <xdr:row>1</xdr:row>
                    <xdr:rowOff>7620</xdr:rowOff>
                  </from>
                  <to>
                    <xdr:col>19</xdr:col>
                    <xdr:colOff>0</xdr:colOff>
                    <xdr:row>4</xdr:row>
                    <xdr:rowOff>7620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3D209C-F91B-4B57-99A0-3885B6A474B4}">
  <sheetPr codeName="Sheet58">
    <tabColor theme="9" tint="-0.249977111117893"/>
  </sheetPr>
  <dimension ref="A1:K94"/>
  <sheetViews>
    <sheetView view="pageLayout" zoomScale="115" zoomScaleNormal="115" zoomScaleSheetLayoutView="130" zoomScalePageLayoutView="115" workbookViewId="0">
      <selection activeCell="P23" sqref="P23"/>
    </sheetView>
  </sheetViews>
  <sheetFormatPr defaultRowHeight="14.4"/>
  <cols>
    <col min="1" max="1" width="9.6640625" customWidth="1"/>
    <col min="11" max="11" width="9.6640625" customWidth="1"/>
  </cols>
  <sheetData>
    <row r="1" spans="1:11">
      <c r="A1" s="21"/>
      <c r="B1" s="21"/>
      <c r="C1" s="21"/>
      <c r="D1" s="21"/>
      <c r="E1" s="21"/>
      <c r="F1" s="21"/>
      <c r="G1" s="21"/>
      <c r="H1" s="21"/>
      <c r="I1" s="21"/>
      <c r="J1" s="21"/>
      <c r="K1" s="21"/>
    </row>
    <row r="2" spans="1:11">
      <c r="A2" s="21"/>
      <c r="B2" s="21"/>
      <c r="C2" s="21"/>
      <c r="D2" s="21"/>
      <c r="E2" s="21"/>
      <c r="F2" s="21"/>
      <c r="G2" s="21"/>
      <c r="H2" s="21"/>
      <c r="I2" s="21"/>
      <c r="J2" s="21"/>
      <c r="K2" s="21"/>
    </row>
    <row r="3" spans="1:11">
      <c r="A3" s="21"/>
      <c r="B3" s="21"/>
      <c r="C3" s="21"/>
      <c r="D3" s="21"/>
      <c r="E3" s="21"/>
      <c r="F3" s="21"/>
      <c r="G3" s="21"/>
      <c r="H3" s="21"/>
      <c r="I3" s="21"/>
      <c r="J3" s="21"/>
      <c r="K3" s="21"/>
    </row>
    <row r="4" spans="1:11">
      <c r="A4" s="21"/>
      <c r="B4" s="21"/>
      <c r="C4" s="21"/>
      <c r="D4" s="21"/>
      <c r="E4" s="21"/>
      <c r="F4" s="21"/>
      <c r="G4" s="21"/>
      <c r="H4" s="21"/>
      <c r="I4" s="21"/>
      <c r="J4" s="21"/>
      <c r="K4" s="21"/>
    </row>
    <row r="5" spans="1:11">
      <c r="A5" s="21"/>
      <c r="B5" s="21"/>
      <c r="C5" s="21"/>
      <c r="D5" s="21"/>
      <c r="E5" s="21"/>
      <c r="F5" s="21"/>
      <c r="G5" s="21"/>
      <c r="H5" s="21"/>
      <c r="I5" s="21"/>
      <c r="J5" s="21"/>
      <c r="K5" s="21"/>
    </row>
    <row r="6" spans="1:11">
      <c r="A6" s="21"/>
      <c r="B6" s="21"/>
      <c r="C6" s="21"/>
      <c r="D6" s="21"/>
      <c r="E6" s="21"/>
      <c r="F6" s="21"/>
      <c r="G6" s="21"/>
      <c r="H6" s="21"/>
      <c r="I6" s="21"/>
      <c r="J6" s="21"/>
      <c r="K6" s="21"/>
    </row>
    <row r="7" spans="1:11">
      <c r="A7" s="21"/>
      <c r="B7" s="21"/>
      <c r="C7" s="21"/>
      <c r="D7" s="21"/>
      <c r="E7" s="21"/>
      <c r="F7" s="21"/>
      <c r="G7" s="21"/>
      <c r="H7" s="21"/>
      <c r="I7" s="21"/>
      <c r="J7" s="21"/>
      <c r="K7" s="21"/>
    </row>
    <row r="8" spans="1:11">
      <c r="A8" s="21"/>
      <c r="B8" s="21"/>
      <c r="C8" s="21"/>
      <c r="D8" s="21"/>
      <c r="E8" s="21"/>
      <c r="F8" s="21"/>
      <c r="G8" s="21"/>
      <c r="H8" s="21"/>
      <c r="I8" s="21"/>
      <c r="J8" s="21"/>
      <c r="K8" s="21"/>
    </row>
    <row r="9" spans="1:11">
      <c r="A9" s="21"/>
      <c r="B9" s="21"/>
      <c r="C9" s="21"/>
      <c r="D9" s="21"/>
      <c r="E9" s="21"/>
      <c r="F9" s="21"/>
      <c r="G9" s="21"/>
      <c r="H9" s="21"/>
      <c r="I9" s="21"/>
      <c r="J9" s="21"/>
      <c r="K9" s="21"/>
    </row>
    <row r="10" spans="1:11">
      <c r="A10" s="21"/>
      <c r="B10" s="21"/>
      <c r="C10" s="21"/>
      <c r="D10" s="21"/>
      <c r="E10" s="21"/>
      <c r="F10" s="21"/>
      <c r="G10" s="21"/>
      <c r="H10" s="21"/>
      <c r="I10" s="21"/>
      <c r="J10" s="21"/>
      <c r="K10" s="21"/>
    </row>
    <row r="11" spans="1:11">
      <c r="A11" s="21"/>
      <c r="B11" s="21"/>
      <c r="C11" s="21"/>
      <c r="D11" s="21"/>
      <c r="E11" s="21"/>
      <c r="F11" s="21"/>
      <c r="G11" s="21"/>
      <c r="H11" s="21"/>
      <c r="I11" s="21"/>
      <c r="J11" s="21"/>
      <c r="K11" s="21"/>
    </row>
    <row r="12" spans="1:11">
      <c r="A12" s="21"/>
      <c r="B12" s="21"/>
      <c r="C12" s="21"/>
      <c r="D12" s="21"/>
      <c r="E12" s="21"/>
      <c r="F12" s="21"/>
      <c r="G12" s="21"/>
      <c r="H12" s="21"/>
      <c r="I12" s="21"/>
      <c r="J12" s="21"/>
      <c r="K12" s="21"/>
    </row>
    <row r="13" spans="1:11">
      <c r="A13" s="21"/>
      <c r="B13" s="21"/>
      <c r="C13" s="21"/>
      <c r="D13" s="21"/>
      <c r="E13" s="21"/>
      <c r="F13" s="21"/>
      <c r="G13" s="21"/>
      <c r="H13" s="21"/>
      <c r="I13" s="21"/>
      <c r="J13" s="21"/>
      <c r="K13" s="21"/>
    </row>
    <row r="14" spans="1:11">
      <c r="A14" s="21"/>
      <c r="B14" s="21"/>
      <c r="C14" s="21"/>
      <c r="D14" s="21"/>
      <c r="E14" s="21"/>
      <c r="F14" s="21"/>
      <c r="G14" s="21"/>
      <c r="H14" s="21"/>
      <c r="I14" s="21"/>
      <c r="J14" s="21"/>
      <c r="K14" s="21"/>
    </row>
    <row r="15" spans="1:11">
      <c r="A15" s="21"/>
      <c r="B15" s="21"/>
      <c r="C15" s="21"/>
      <c r="D15" s="21"/>
      <c r="E15" s="21"/>
      <c r="F15" s="21"/>
      <c r="G15" s="21"/>
      <c r="H15" s="21"/>
      <c r="I15" s="21"/>
      <c r="J15" s="21"/>
      <c r="K15" s="21"/>
    </row>
    <row r="16" spans="1:11">
      <c r="A16" s="21"/>
      <c r="B16" s="21"/>
      <c r="C16" s="21"/>
      <c r="D16" s="21"/>
      <c r="E16" s="21"/>
      <c r="F16" s="21"/>
      <c r="G16" s="21"/>
      <c r="H16" s="21"/>
      <c r="I16" s="21"/>
      <c r="J16" s="21"/>
      <c r="K16" s="21"/>
    </row>
    <row r="17" spans="1:11">
      <c r="A17" s="21"/>
      <c r="B17" s="21"/>
      <c r="C17" s="21"/>
      <c r="D17" s="21"/>
      <c r="E17" s="21"/>
      <c r="F17" s="21"/>
      <c r="G17" s="21"/>
      <c r="H17" s="21"/>
      <c r="I17" s="21"/>
      <c r="J17" s="21"/>
      <c r="K17" s="21"/>
    </row>
    <row r="18" spans="1:11">
      <c r="A18" s="21"/>
      <c r="B18" s="21"/>
      <c r="C18" s="21"/>
      <c r="D18" s="21"/>
      <c r="E18" s="21"/>
      <c r="F18" s="21"/>
      <c r="G18" s="21"/>
      <c r="H18" s="21"/>
      <c r="I18" s="21"/>
      <c r="J18" s="21"/>
      <c r="K18" s="21"/>
    </row>
    <row r="19" spans="1:11">
      <c r="A19" s="21"/>
      <c r="B19" s="21"/>
      <c r="C19" s="21"/>
      <c r="D19" s="21"/>
      <c r="E19" s="21"/>
      <c r="F19" s="21"/>
      <c r="G19" s="21"/>
      <c r="H19" s="21"/>
      <c r="I19" s="21"/>
      <c r="J19" s="21"/>
      <c r="K19" s="21"/>
    </row>
    <row r="20" spans="1:11">
      <c r="A20" s="21"/>
      <c r="B20" s="21"/>
      <c r="C20" s="21"/>
      <c r="D20" s="21"/>
      <c r="E20" s="21"/>
      <c r="F20" s="21"/>
      <c r="G20" s="21"/>
      <c r="H20" s="21"/>
      <c r="I20" s="21"/>
      <c r="J20" s="21"/>
      <c r="K20" s="21"/>
    </row>
    <row r="21" spans="1:11">
      <c r="A21" s="21"/>
      <c r="B21" s="21"/>
      <c r="C21" s="21"/>
      <c r="D21" s="21"/>
      <c r="E21" s="21"/>
      <c r="F21" s="21"/>
      <c r="G21" s="21"/>
      <c r="H21" s="21"/>
      <c r="I21" s="21"/>
      <c r="J21" s="21"/>
      <c r="K21" s="21"/>
    </row>
    <row r="22" spans="1:11">
      <c r="A22" s="21"/>
      <c r="B22" s="21"/>
      <c r="C22" s="21"/>
      <c r="D22" s="21"/>
      <c r="E22" s="21"/>
      <c r="F22" s="21"/>
      <c r="G22" s="21"/>
      <c r="H22" s="21"/>
      <c r="I22" s="21"/>
      <c r="J22" s="21"/>
      <c r="K22" s="21"/>
    </row>
    <row r="23" spans="1:11">
      <c r="A23" s="21"/>
      <c r="B23" s="21"/>
      <c r="C23" s="21"/>
      <c r="D23" s="21"/>
      <c r="E23" s="21"/>
      <c r="F23" s="21"/>
      <c r="G23" s="21"/>
      <c r="H23" s="21"/>
      <c r="I23" s="21"/>
      <c r="J23" s="21"/>
      <c r="K23" s="21"/>
    </row>
    <row r="24" spans="1:11">
      <c r="A24" s="21"/>
      <c r="B24" s="21"/>
      <c r="C24" s="21"/>
      <c r="D24" s="21"/>
      <c r="E24" s="21"/>
      <c r="F24" s="21"/>
      <c r="G24" s="21"/>
      <c r="H24" s="21"/>
      <c r="I24" s="21"/>
      <c r="J24" s="21"/>
      <c r="K24" s="21"/>
    </row>
    <row r="25" spans="1:11">
      <c r="A25" s="21"/>
      <c r="B25" s="21"/>
      <c r="C25" s="21"/>
      <c r="D25" s="21"/>
      <c r="E25" s="21"/>
      <c r="F25" s="21"/>
      <c r="G25" s="21"/>
      <c r="H25" s="21"/>
      <c r="I25" s="21"/>
      <c r="J25" s="21"/>
      <c r="K25" s="21"/>
    </row>
    <row r="26" spans="1:11">
      <c r="A26" s="21"/>
      <c r="B26" s="21"/>
      <c r="C26" s="21"/>
      <c r="D26" s="21"/>
      <c r="E26" s="21"/>
      <c r="F26" s="21"/>
      <c r="G26" s="21"/>
      <c r="H26" s="21"/>
      <c r="I26" s="21"/>
      <c r="J26" s="21"/>
      <c r="K26" s="21"/>
    </row>
    <row r="27" spans="1:11">
      <c r="A27" s="21"/>
      <c r="B27" s="21"/>
      <c r="C27" s="21"/>
      <c r="D27" s="21"/>
      <c r="E27" s="21"/>
      <c r="F27" s="21"/>
      <c r="G27" s="21"/>
      <c r="H27" s="21"/>
      <c r="I27" s="21"/>
      <c r="J27" s="21"/>
      <c r="K27" s="21"/>
    </row>
    <row r="28" spans="1:11">
      <c r="A28" s="21"/>
      <c r="B28" s="21"/>
      <c r="C28" s="21"/>
      <c r="D28" s="21"/>
      <c r="E28" s="21"/>
      <c r="F28" s="21"/>
      <c r="G28" s="21"/>
      <c r="H28" s="21"/>
      <c r="I28" s="21"/>
      <c r="J28" s="21"/>
      <c r="K28" s="21"/>
    </row>
    <row r="29" spans="1:11">
      <c r="A29" s="21"/>
      <c r="B29" s="21"/>
      <c r="C29" s="21"/>
      <c r="D29" s="21"/>
      <c r="E29" s="21"/>
      <c r="F29" s="21"/>
      <c r="G29" s="21"/>
      <c r="H29" s="21"/>
      <c r="I29" s="21"/>
      <c r="J29" s="21"/>
      <c r="K29" s="21"/>
    </row>
    <row r="30" spans="1:11">
      <c r="A30" s="21"/>
      <c r="B30" s="21"/>
      <c r="C30" s="21"/>
      <c r="D30" s="21"/>
      <c r="E30" s="21"/>
      <c r="F30" s="21"/>
      <c r="G30" s="21"/>
      <c r="H30" s="21"/>
      <c r="I30" s="21"/>
      <c r="J30" s="21"/>
      <c r="K30" s="21"/>
    </row>
    <row r="31" spans="1:11">
      <c r="A31" s="21"/>
      <c r="B31" s="21"/>
      <c r="C31" s="21"/>
      <c r="D31" s="21"/>
      <c r="E31" s="21"/>
      <c r="F31" s="21"/>
      <c r="G31" s="21"/>
      <c r="H31" s="21"/>
      <c r="I31" s="21"/>
      <c r="J31" s="21"/>
      <c r="K31" s="21"/>
    </row>
    <row r="32" spans="1:11">
      <c r="A32" s="21"/>
      <c r="B32" s="21"/>
      <c r="C32" s="21"/>
      <c r="D32" s="21"/>
      <c r="E32" s="21"/>
      <c r="F32" s="21"/>
      <c r="G32" s="21"/>
      <c r="H32" s="21"/>
      <c r="I32" s="21"/>
      <c r="J32" s="21"/>
      <c r="K32" s="21"/>
    </row>
    <row r="33" spans="1:11">
      <c r="A33" s="21"/>
      <c r="B33" s="21"/>
      <c r="C33" s="21"/>
      <c r="D33" s="21"/>
      <c r="E33" s="21"/>
      <c r="F33" s="21"/>
      <c r="G33" s="21"/>
      <c r="H33" s="21"/>
      <c r="I33" s="21"/>
      <c r="J33" s="21"/>
      <c r="K33" s="21"/>
    </row>
    <row r="34" spans="1:11">
      <c r="A34" s="21"/>
      <c r="B34" s="21"/>
      <c r="C34" s="21"/>
      <c r="D34" s="21"/>
      <c r="E34" s="21"/>
      <c r="F34" s="21"/>
      <c r="G34" s="21"/>
      <c r="H34" s="21"/>
      <c r="I34" s="21"/>
      <c r="J34" s="21"/>
      <c r="K34" s="21"/>
    </row>
    <row r="35" spans="1:11">
      <c r="A35" s="21"/>
      <c r="B35" s="21"/>
      <c r="C35" s="21"/>
      <c r="D35" s="21"/>
      <c r="E35" s="21"/>
      <c r="F35" s="21"/>
      <c r="G35" s="21"/>
      <c r="H35" s="21"/>
      <c r="I35" s="21"/>
      <c r="J35" s="21"/>
      <c r="K35" s="21"/>
    </row>
    <row r="36" spans="1:11">
      <c r="A36" s="21"/>
      <c r="B36" s="21"/>
      <c r="C36" s="21"/>
      <c r="D36" s="21"/>
      <c r="E36" s="21"/>
      <c r="F36" s="21"/>
      <c r="G36" s="21"/>
      <c r="H36" s="21"/>
      <c r="I36" s="21"/>
      <c r="J36" s="21"/>
      <c r="K36" s="21"/>
    </row>
    <row r="37" spans="1:11">
      <c r="A37" s="21"/>
      <c r="B37" s="21"/>
      <c r="C37" s="21"/>
      <c r="D37" s="21"/>
      <c r="E37" s="21"/>
      <c r="F37" s="21"/>
      <c r="G37" s="21"/>
      <c r="H37" s="21"/>
      <c r="I37" s="21"/>
      <c r="J37" s="21"/>
      <c r="K37" s="21"/>
    </row>
    <row r="38" spans="1:11">
      <c r="A38" s="21"/>
      <c r="B38" s="21"/>
      <c r="C38" s="21"/>
      <c r="D38" s="21"/>
      <c r="E38" s="21"/>
      <c r="F38" s="21"/>
      <c r="G38" s="21"/>
      <c r="H38" s="21"/>
      <c r="I38" s="21"/>
      <c r="J38" s="21"/>
      <c r="K38" s="21"/>
    </row>
    <row r="39" spans="1:11">
      <c r="A39" s="21"/>
      <c r="B39" s="21"/>
      <c r="C39" s="21"/>
      <c r="D39" s="21"/>
      <c r="E39" s="21"/>
      <c r="F39" s="21"/>
      <c r="G39" s="21"/>
      <c r="H39" s="21"/>
      <c r="I39" s="21"/>
      <c r="J39" s="21"/>
      <c r="K39" s="21"/>
    </row>
    <row r="40" spans="1:11">
      <c r="A40" s="21"/>
      <c r="B40" s="21"/>
      <c r="C40" s="21"/>
      <c r="D40" s="21"/>
      <c r="E40" s="21"/>
      <c r="F40" s="21"/>
      <c r="G40" s="21"/>
      <c r="H40" s="21"/>
      <c r="I40" s="21"/>
      <c r="J40" s="21"/>
      <c r="K40" s="21"/>
    </row>
    <row r="41" spans="1:11">
      <c r="A41" s="21"/>
      <c r="B41" s="21"/>
      <c r="C41" s="21"/>
      <c r="D41" s="21"/>
      <c r="E41" s="21"/>
      <c r="F41" s="21"/>
      <c r="G41" s="21"/>
      <c r="H41" s="21"/>
      <c r="I41" s="21"/>
      <c r="J41" s="21"/>
      <c r="K41" s="21"/>
    </row>
    <row r="42" spans="1:11">
      <c r="A42" s="21"/>
      <c r="B42" s="21"/>
      <c r="C42" s="21"/>
      <c r="D42" s="21"/>
      <c r="E42" s="21"/>
      <c r="F42" s="21"/>
      <c r="G42" s="21"/>
      <c r="H42" s="21"/>
      <c r="I42" s="21"/>
      <c r="J42" s="21"/>
      <c r="K42" s="21"/>
    </row>
    <row r="43" spans="1:11">
      <c r="A43" s="21"/>
      <c r="B43" s="21"/>
      <c r="C43" s="21"/>
      <c r="D43" s="21"/>
      <c r="E43" s="21"/>
      <c r="F43" s="21"/>
      <c r="G43" s="21"/>
      <c r="H43" s="21"/>
      <c r="I43" s="21"/>
      <c r="J43" s="21"/>
      <c r="K43" s="21"/>
    </row>
    <row r="44" spans="1:11">
      <c r="A44" s="21"/>
      <c r="B44" s="21"/>
      <c r="C44" s="21"/>
      <c r="D44" s="21"/>
      <c r="E44" s="21"/>
      <c r="F44" s="21"/>
      <c r="G44" s="21"/>
      <c r="H44" s="21"/>
      <c r="I44" s="21"/>
      <c r="J44" s="21"/>
      <c r="K44" s="21"/>
    </row>
    <row r="45" spans="1:11">
      <c r="A45" s="21"/>
      <c r="B45" s="21"/>
      <c r="C45" s="21"/>
      <c r="D45" s="21"/>
      <c r="E45" s="21"/>
      <c r="F45" s="21"/>
      <c r="G45" s="21"/>
      <c r="H45" s="21"/>
      <c r="I45" s="21"/>
      <c r="J45" s="21"/>
      <c r="K45" s="21"/>
    </row>
    <row r="46" spans="1:11">
      <c r="A46" s="21"/>
      <c r="B46" s="21"/>
      <c r="C46" s="21"/>
      <c r="D46" s="21"/>
      <c r="E46" s="21"/>
      <c r="F46" s="21"/>
      <c r="G46" s="21"/>
      <c r="H46" s="21"/>
      <c r="I46" s="21"/>
      <c r="J46" s="21"/>
      <c r="K46" s="21"/>
    </row>
    <row r="47" spans="1:11">
      <c r="A47" s="21"/>
      <c r="B47" s="21"/>
      <c r="C47" s="21"/>
      <c r="D47" s="21"/>
      <c r="E47" s="21"/>
      <c r="F47" s="21"/>
      <c r="G47" s="21"/>
      <c r="H47" s="21"/>
      <c r="I47" s="21"/>
      <c r="J47" s="21"/>
      <c r="K47" s="21"/>
    </row>
    <row r="48" spans="1:11">
      <c r="A48" s="21"/>
      <c r="B48" s="21"/>
      <c r="C48" s="21"/>
      <c r="D48" s="21"/>
      <c r="E48" s="21"/>
      <c r="F48" s="21"/>
      <c r="G48" s="21"/>
      <c r="H48" s="21"/>
      <c r="I48" s="21"/>
      <c r="J48" s="21"/>
      <c r="K48" s="21"/>
    </row>
    <row r="49" spans="1:11">
      <c r="A49" s="21"/>
      <c r="B49" s="21"/>
      <c r="C49" s="21"/>
      <c r="D49" s="21"/>
      <c r="E49" s="21"/>
      <c r="F49" s="21"/>
      <c r="G49" s="21"/>
      <c r="H49" s="21"/>
      <c r="I49" s="21"/>
      <c r="J49" s="21"/>
      <c r="K49" s="21"/>
    </row>
    <row r="50" spans="1:11">
      <c r="A50" s="21"/>
      <c r="B50" s="21"/>
      <c r="C50" s="21"/>
      <c r="D50" s="21"/>
      <c r="E50" s="21"/>
      <c r="F50" s="21"/>
      <c r="G50" s="21"/>
      <c r="H50" s="21"/>
      <c r="I50" s="21"/>
      <c r="J50" s="21"/>
      <c r="K50" s="21"/>
    </row>
    <row r="51" spans="1:11">
      <c r="A51" s="21"/>
      <c r="B51" s="21"/>
      <c r="C51" s="21"/>
      <c r="D51" s="21"/>
      <c r="E51" s="21"/>
      <c r="F51" s="21"/>
      <c r="G51" s="21"/>
      <c r="H51" s="21"/>
      <c r="I51" s="21"/>
      <c r="J51" s="21"/>
      <c r="K51" s="21"/>
    </row>
    <row r="52" spans="1:11">
      <c r="A52" s="21"/>
      <c r="B52" s="21"/>
      <c r="C52" s="21"/>
      <c r="D52" s="21"/>
      <c r="E52" s="21"/>
      <c r="F52" s="21"/>
      <c r="G52" s="21"/>
      <c r="H52" s="21"/>
      <c r="I52" s="21"/>
      <c r="J52" s="21"/>
      <c r="K52" s="21"/>
    </row>
    <row r="53" spans="1:11">
      <c r="A53" s="21"/>
      <c r="B53" s="21"/>
      <c r="C53" s="21"/>
      <c r="D53" s="21"/>
      <c r="E53" s="21"/>
      <c r="F53" s="21"/>
      <c r="G53" s="21"/>
      <c r="H53" s="21"/>
      <c r="I53" s="21"/>
      <c r="J53" s="21"/>
      <c r="K53" s="21"/>
    </row>
    <row r="54" spans="1:11">
      <c r="A54" s="21"/>
      <c r="B54" s="21"/>
      <c r="C54" s="21"/>
      <c r="D54" s="21"/>
      <c r="E54" s="21"/>
      <c r="F54" s="21"/>
      <c r="G54" s="21"/>
      <c r="H54" s="21"/>
      <c r="I54" s="21"/>
      <c r="J54" s="21"/>
      <c r="K54" s="21"/>
    </row>
    <row r="55" spans="1:11">
      <c r="A55" s="21"/>
      <c r="B55" s="21"/>
      <c r="C55" s="21"/>
      <c r="D55" s="21"/>
      <c r="E55" s="21"/>
      <c r="F55" s="21"/>
      <c r="G55" s="21"/>
      <c r="H55" s="21"/>
      <c r="I55" s="21"/>
      <c r="J55" s="21"/>
      <c r="K55" s="21"/>
    </row>
    <row r="56" spans="1:11">
      <c r="A56" s="21"/>
      <c r="B56" s="21"/>
      <c r="C56" s="21"/>
      <c r="D56" s="21"/>
      <c r="E56" s="21"/>
      <c r="F56" s="21"/>
      <c r="G56" s="21"/>
      <c r="H56" s="21"/>
      <c r="I56" s="21"/>
      <c r="J56" s="21"/>
      <c r="K56" s="21"/>
    </row>
    <row r="57" spans="1:11">
      <c r="A57" s="21"/>
      <c r="B57" s="21"/>
      <c r="C57" s="21"/>
      <c r="D57" s="21"/>
      <c r="E57" s="21"/>
      <c r="F57" s="21"/>
      <c r="G57" s="21"/>
      <c r="H57" s="21"/>
      <c r="I57" s="21"/>
      <c r="J57" s="21"/>
      <c r="K57" s="21"/>
    </row>
    <row r="58" spans="1:11">
      <c r="A58" s="21"/>
      <c r="B58" s="21"/>
      <c r="C58" s="21"/>
      <c r="D58" s="21"/>
      <c r="E58" s="21"/>
      <c r="F58" s="21"/>
      <c r="G58" s="21"/>
      <c r="H58" s="21"/>
      <c r="I58" s="21"/>
      <c r="J58" s="21"/>
      <c r="K58" s="21"/>
    </row>
    <row r="59" spans="1:11">
      <c r="A59" s="21"/>
      <c r="B59" s="21"/>
      <c r="C59" s="21"/>
      <c r="D59" s="21"/>
      <c r="E59" s="21"/>
      <c r="F59" s="21"/>
      <c r="G59" s="21"/>
      <c r="H59" s="21"/>
      <c r="I59" s="21"/>
      <c r="J59" s="21"/>
      <c r="K59" s="21"/>
    </row>
    <row r="60" spans="1:11">
      <c r="A60" s="21"/>
      <c r="B60" s="21"/>
      <c r="C60" s="21"/>
      <c r="D60" s="21"/>
      <c r="E60" s="21"/>
      <c r="F60" s="21"/>
      <c r="G60" s="21"/>
      <c r="H60" s="21"/>
      <c r="I60" s="21"/>
      <c r="J60" s="21"/>
      <c r="K60" s="21"/>
    </row>
    <row r="61" spans="1:11">
      <c r="A61" s="21"/>
      <c r="B61" s="21"/>
      <c r="C61" s="21"/>
      <c r="D61" s="21"/>
      <c r="E61" s="21"/>
      <c r="F61" s="21"/>
      <c r="G61" s="21"/>
      <c r="H61" s="21"/>
      <c r="I61" s="21"/>
      <c r="J61" s="21"/>
      <c r="K61" s="21"/>
    </row>
    <row r="62" spans="1:11">
      <c r="A62" s="21"/>
      <c r="B62" s="21"/>
      <c r="C62" s="21"/>
      <c r="D62" s="21"/>
      <c r="E62" s="21"/>
      <c r="F62" s="21"/>
      <c r="G62" s="21"/>
      <c r="H62" s="21"/>
      <c r="I62" s="21"/>
      <c r="J62" s="21"/>
      <c r="K62" s="21"/>
    </row>
    <row r="63" spans="1:11">
      <c r="A63" s="21"/>
      <c r="B63" s="21"/>
      <c r="C63" s="21"/>
      <c r="D63" s="21"/>
      <c r="E63" s="21"/>
      <c r="F63" s="21"/>
      <c r="G63" s="21"/>
      <c r="H63" s="21"/>
      <c r="I63" s="21"/>
      <c r="J63" s="21"/>
      <c r="K63" s="21"/>
    </row>
    <row r="64" spans="1:11">
      <c r="A64" s="21"/>
      <c r="B64" s="21"/>
      <c r="C64" s="21"/>
      <c r="D64" s="21"/>
      <c r="E64" s="21"/>
      <c r="F64" s="21"/>
      <c r="G64" s="21"/>
      <c r="H64" s="21"/>
      <c r="I64" s="21"/>
      <c r="J64" s="21"/>
      <c r="K64" s="21"/>
    </row>
    <row r="65" spans="1:11">
      <c r="A65" s="21"/>
      <c r="B65" s="21"/>
      <c r="C65" s="21"/>
      <c r="D65" s="21"/>
      <c r="E65" s="21"/>
      <c r="F65" s="21"/>
      <c r="G65" s="21"/>
      <c r="H65" s="21"/>
      <c r="I65" s="21"/>
      <c r="J65" s="21"/>
      <c r="K65" s="21"/>
    </row>
    <row r="66" spans="1:11">
      <c r="A66" s="21"/>
      <c r="B66" s="21"/>
      <c r="C66" s="21"/>
      <c r="D66" s="21"/>
      <c r="E66" s="21"/>
      <c r="F66" s="21"/>
      <c r="G66" s="21"/>
      <c r="H66" s="21"/>
      <c r="I66" s="21"/>
      <c r="J66" s="21"/>
      <c r="K66" s="21"/>
    </row>
    <row r="67" spans="1:11">
      <c r="A67" s="21"/>
      <c r="B67" s="21"/>
      <c r="C67" s="21"/>
      <c r="D67" s="21"/>
      <c r="E67" s="21"/>
      <c r="F67" s="21"/>
      <c r="G67" s="21"/>
      <c r="H67" s="21"/>
      <c r="I67" s="21"/>
      <c r="J67" s="21"/>
      <c r="K67" s="21"/>
    </row>
    <row r="68" spans="1:11">
      <c r="A68" s="21"/>
      <c r="B68" s="21"/>
      <c r="C68" s="21"/>
      <c r="D68" s="21"/>
      <c r="E68" s="21"/>
      <c r="F68" s="21"/>
      <c r="G68" s="21"/>
      <c r="H68" s="21"/>
      <c r="I68" s="21"/>
      <c r="J68" s="21"/>
      <c r="K68" s="21"/>
    </row>
    <row r="69" spans="1:11">
      <c r="A69" s="21"/>
      <c r="B69" s="21"/>
      <c r="C69" s="21"/>
      <c r="D69" s="21"/>
      <c r="E69" s="21"/>
      <c r="F69" s="21"/>
      <c r="G69" s="21"/>
      <c r="H69" s="21"/>
      <c r="I69" s="21"/>
      <c r="J69" s="21"/>
      <c r="K69" s="21"/>
    </row>
    <row r="70" spans="1:11">
      <c r="A70" s="21"/>
      <c r="B70" s="21"/>
      <c r="C70" s="21"/>
      <c r="D70" s="21"/>
      <c r="E70" s="21"/>
      <c r="F70" s="21"/>
      <c r="G70" s="21"/>
      <c r="H70" s="21"/>
      <c r="I70" s="21"/>
      <c r="J70" s="21"/>
      <c r="K70" s="21"/>
    </row>
    <row r="71" spans="1:11">
      <c r="A71" s="21"/>
      <c r="B71" s="21"/>
      <c r="C71" s="21"/>
      <c r="D71" s="21"/>
      <c r="E71" s="21"/>
      <c r="F71" s="21"/>
      <c r="G71" s="21"/>
      <c r="H71" s="21"/>
      <c r="I71" s="21"/>
      <c r="J71" s="21"/>
      <c r="K71" s="21"/>
    </row>
    <row r="72" spans="1:11">
      <c r="A72" s="21"/>
      <c r="B72" s="21"/>
      <c r="C72" s="21"/>
      <c r="D72" s="21"/>
      <c r="E72" s="21"/>
      <c r="F72" s="21"/>
      <c r="G72" s="21"/>
      <c r="H72" s="21"/>
      <c r="I72" s="21"/>
      <c r="J72" s="21"/>
      <c r="K72" s="21"/>
    </row>
    <row r="73" spans="1:11">
      <c r="A73" s="21"/>
      <c r="B73" s="21"/>
      <c r="C73" s="21"/>
      <c r="D73" s="21"/>
      <c r="E73" s="21"/>
      <c r="F73" s="21"/>
      <c r="G73" s="21"/>
      <c r="H73" s="21"/>
      <c r="I73" s="21"/>
      <c r="J73" s="21"/>
      <c r="K73" s="21"/>
    </row>
    <row r="74" spans="1:11">
      <c r="A74" s="21"/>
      <c r="B74" s="21"/>
      <c r="C74" s="21"/>
      <c r="D74" s="21"/>
      <c r="E74" s="21"/>
      <c r="F74" s="21"/>
      <c r="G74" s="21"/>
      <c r="H74" s="21"/>
      <c r="I74" s="21"/>
      <c r="J74" s="21"/>
      <c r="K74" s="21"/>
    </row>
    <row r="75" spans="1:11">
      <c r="A75" s="21"/>
      <c r="B75" s="21"/>
      <c r="C75" s="21"/>
      <c r="D75" s="21"/>
      <c r="E75" s="21"/>
      <c r="F75" s="21"/>
      <c r="G75" s="21"/>
      <c r="H75" s="21"/>
      <c r="I75" s="21"/>
      <c r="J75" s="21"/>
      <c r="K75" s="21"/>
    </row>
    <row r="76" spans="1:11">
      <c r="A76" s="21"/>
      <c r="B76" s="21"/>
      <c r="C76" s="21"/>
      <c r="D76" s="21"/>
      <c r="E76" s="21"/>
      <c r="F76" s="21"/>
      <c r="G76" s="21"/>
      <c r="H76" s="21"/>
      <c r="I76" s="21"/>
      <c r="J76" s="21"/>
      <c r="K76" s="21"/>
    </row>
    <row r="77" spans="1:11">
      <c r="A77" s="21"/>
      <c r="B77" s="21"/>
      <c r="C77" s="21"/>
      <c r="D77" s="21"/>
      <c r="E77" s="21"/>
      <c r="F77" s="21"/>
      <c r="G77" s="21"/>
      <c r="H77" s="21"/>
      <c r="I77" s="21"/>
      <c r="J77" s="21"/>
      <c r="K77" s="21"/>
    </row>
    <row r="78" spans="1:11">
      <c r="A78" s="21"/>
      <c r="B78" s="21"/>
      <c r="C78" s="21"/>
      <c r="D78" s="21"/>
      <c r="E78" s="21"/>
      <c r="F78" s="21"/>
      <c r="G78" s="21"/>
      <c r="H78" s="21"/>
      <c r="I78" s="21"/>
      <c r="J78" s="21"/>
      <c r="K78" s="21"/>
    </row>
    <row r="79" spans="1:11">
      <c r="A79" s="21"/>
      <c r="B79" s="21"/>
      <c r="C79" s="21"/>
      <c r="D79" s="21"/>
      <c r="E79" s="21"/>
      <c r="F79" s="21"/>
      <c r="G79" s="21"/>
      <c r="H79" s="21"/>
      <c r="I79" s="21"/>
      <c r="J79" s="21"/>
      <c r="K79" s="21"/>
    </row>
    <row r="80" spans="1:11">
      <c r="A80" s="21"/>
      <c r="B80" s="21"/>
      <c r="C80" s="21"/>
      <c r="D80" s="21"/>
      <c r="E80" s="21"/>
      <c r="F80" s="21"/>
      <c r="G80" s="21"/>
      <c r="H80" s="21"/>
      <c r="I80" s="21"/>
      <c r="J80" s="21"/>
      <c r="K80" s="21"/>
    </row>
    <row r="81" spans="1:11">
      <c r="A81" s="21"/>
      <c r="B81" s="21"/>
      <c r="C81" s="21"/>
      <c r="D81" s="21"/>
      <c r="E81" s="21"/>
      <c r="F81" s="21"/>
      <c r="G81" s="21"/>
      <c r="H81" s="21"/>
      <c r="I81" s="21"/>
      <c r="J81" s="21"/>
      <c r="K81" s="21"/>
    </row>
    <row r="82" spans="1:11">
      <c r="A82" s="21"/>
      <c r="B82" s="21"/>
      <c r="C82" s="21"/>
      <c r="D82" s="21"/>
      <c r="E82" s="21"/>
      <c r="F82" s="21"/>
      <c r="G82" s="21"/>
      <c r="H82" s="21"/>
      <c r="I82" s="21"/>
      <c r="J82" s="21"/>
      <c r="K82" s="21"/>
    </row>
    <row r="83" spans="1:11">
      <c r="A83" s="21"/>
      <c r="B83" s="21"/>
      <c r="C83" s="21"/>
      <c r="D83" s="21"/>
      <c r="E83" s="21"/>
      <c r="F83" s="21"/>
      <c r="G83" s="21"/>
      <c r="H83" s="21"/>
      <c r="I83" s="21"/>
      <c r="J83" s="21"/>
      <c r="K83" s="21"/>
    </row>
    <row r="84" spans="1:11">
      <c r="A84" s="21"/>
      <c r="B84" s="21"/>
      <c r="C84" s="21"/>
      <c r="D84" s="21"/>
      <c r="E84" s="21"/>
      <c r="F84" s="21"/>
      <c r="G84" s="21"/>
      <c r="H84" s="21"/>
      <c r="I84" s="21"/>
      <c r="J84" s="21"/>
      <c r="K84" s="21"/>
    </row>
    <row r="85" spans="1:11">
      <c r="A85" s="21"/>
      <c r="B85" s="21"/>
      <c r="C85" s="21"/>
      <c r="D85" s="21"/>
      <c r="E85" s="21"/>
      <c r="F85" s="21"/>
      <c r="G85" s="21"/>
      <c r="H85" s="21"/>
      <c r="I85" s="21"/>
      <c r="J85" s="21"/>
      <c r="K85" s="21"/>
    </row>
    <row r="86" spans="1:11">
      <c r="A86" s="21"/>
      <c r="B86" s="21"/>
      <c r="C86" s="21"/>
      <c r="D86" s="21"/>
      <c r="E86" s="21"/>
      <c r="F86" s="21"/>
      <c r="G86" s="21"/>
      <c r="H86" s="21"/>
      <c r="I86" s="21"/>
      <c r="J86" s="21"/>
      <c r="K86" s="21"/>
    </row>
    <row r="87" spans="1:11">
      <c r="A87" s="21"/>
      <c r="B87" s="21"/>
      <c r="C87" s="21"/>
      <c r="D87" s="21"/>
      <c r="E87" s="21"/>
      <c r="F87" s="21"/>
      <c r="G87" s="21"/>
      <c r="H87" s="21"/>
      <c r="I87" s="21"/>
      <c r="J87" s="21"/>
      <c r="K87" s="21"/>
    </row>
    <row r="88" spans="1:11">
      <c r="A88" s="21"/>
      <c r="B88" s="21"/>
      <c r="C88" s="21"/>
      <c r="D88" s="21"/>
      <c r="E88" s="21"/>
      <c r="F88" s="21"/>
      <c r="G88" s="21"/>
      <c r="H88" s="21"/>
      <c r="I88" s="21"/>
      <c r="J88" s="21"/>
      <c r="K88" s="21"/>
    </row>
    <row r="89" spans="1:11">
      <c r="A89" s="21"/>
      <c r="B89" s="21"/>
      <c r="C89" s="21"/>
      <c r="D89" s="21"/>
      <c r="E89" s="21"/>
      <c r="F89" s="21"/>
      <c r="G89" s="21"/>
      <c r="H89" s="21"/>
      <c r="I89" s="21"/>
      <c r="J89" s="21"/>
      <c r="K89" s="21"/>
    </row>
    <row r="90" spans="1:11">
      <c r="A90" s="21"/>
      <c r="B90" s="21"/>
      <c r="C90" s="21"/>
      <c r="D90" s="21"/>
      <c r="E90" s="21"/>
      <c r="F90" s="21"/>
      <c r="G90" s="21"/>
      <c r="H90" s="21"/>
      <c r="I90" s="21"/>
      <c r="J90" s="21"/>
      <c r="K90" s="21"/>
    </row>
    <row r="91" spans="1:11">
      <c r="A91" s="21"/>
      <c r="B91" s="21"/>
      <c r="C91" s="21"/>
      <c r="D91" s="21"/>
      <c r="E91" s="21"/>
      <c r="F91" s="21"/>
      <c r="G91" s="21"/>
      <c r="H91" s="21"/>
      <c r="I91" s="21"/>
      <c r="J91" s="21"/>
      <c r="K91" s="21"/>
    </row>
    <row r="92" spans="1:11">
      <c r="A92" s="21"/>
      <c r="B92" s="21"/>
      <c r="C92" s="21"/>
      <c r="D92" s="21"/>
      <c r="E92" s="21"/>
      <c r="F92" s="21"/>
      <c r="G92" s="21"/>
      <c r="H92" s="21"/>
      <c r="I92" s="21"/>
      <c r="J92" s="21"/>
      <c r="K92" s="21"/>
    </row>
    <row r="93" spans="1:11">
      <c r="A93" s="21"/>
      <c r="B93" s="21"/>
      <c r="C93" s="21"/>
      <c r="D93" s="21"/>
      <c r="E93" s="21"/>
      <c r="F93" s="21"/>
      <c r="G93" s="21"/>
      <c r="H93" s="21"/>
      <c r="I93" s="21"/>
      <c r="J93" s="21"/>
      <c r="K93" s="21"/>
    </row>
    <row r="94" spans="1:11">
      <c r="A94" s="21"/>
      <c r="B94" s="21"/>
      <c r="C94" s="21"/>
      <c r="D94" s="21"/>
      <c r="E94" s="21"/>
      <c r="F94" s="21"/>
      <c r="G94" s="21"/>
      <c r="H94" s="21"/>
      <c r="I94" s="21"/>
      <c r="J94" s="21"/>
      <c r="K94" s="21"/>
    </row>
  </sheetData>
  <sheetProtection formatColumns="0" formatRows="0" insertColumns="0" insertRows="0"/>
  <printOptions horizontalCentered="1"/>
  <pageMargins left="0.25" right="0.25" top="0.5" bottom="0.5" header="0.3" footer="0.3"/>
  <pageSetup orientation="portrait" r:id="rId1"/>
  <headerFooter scaleWithDoc="0">
    <oddHeader>&amp;C&amp;"-,Bold"&amp;20PWC Cap Rate Data</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321537" r:id="rId4" name="Button 1">
              <controlPr defaultSize="0" print="0" autoFill="0" autoPict="0" macro="[0]!PasteImageWithBorder_ExtraPage">
                <anchor moveWithCells="1" sizeWithCells="1">
                  <from>
                    <xdr:col>12</xdr:col>
                    <xdr:colOff>312420</xdr:colOff>
                    <xdr:row>3</xdr:row>
                    <xdr:rowOff>0</xdr:rowOff>
                  </from>
                  <to>
                    <xdr:col>15</xdr:col>
                    <xdr:colOff>304800</xdr:colOff>
                    <xdr:row>6</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E0534-BDEC-48B4-87C8-E9BAF9DF331B}">
  <sheetPr codeName="Sheet47">
    <tabColor theme="9" tint="-0.249977111117893"/>
  </sheetPr>
  <dimension ref="A1:K94"/>
  <sheetViews>
    <sheetView view="pageLayout" zoomScale="115" zoomScaleNormal="115" zoomScaleSheetLayoutView="130" zoomScalePageLayoutView="115" workbookViewId="0">
      <selection activeCell="A2" sqref="A2"/>
    </sheetView>
  </sheetViews>
  <sheetFormatPr defaultRowHeight="14.4"/>
  <cols>
    <col min="1" max="1" width="9.6640625" customWidth="1"/>
    <col min="11" max="11" width="9.6640625" customWidth="1"/>
  </cols>
  <sheetData>
    <row r="1" spans="1:11">
      <c r="B1" s="21"/>
      <c r="C1" s="21"/>
      <c r="D1" s="21"/>
      <c r="E1" s="21"/>
      <c r="F1" s="21"/>
      <c r="G1" s="21"/>
      <c r="H1" s="21"/>
      <c r="I1" s="21"/>
      <c r="J1" s="21"/>
      <c r="K1" s="21"/>
    </row>
    <row r="2" spans="1:11">
      <c r="A2" s="21"/>
      <c r="B2" s="21"/>
      <c r="C2" s="21"/>
      <c r="D2" s="21"/>
      <c r="E2" s="21"/>
      <c r="F2" s="21"/>
      <c r="G2" s="21"/>
      <c r="H2" s="21"/>
      <c r="I2" s="21"/>
      <c r="J2" s="21"/>
      <c r="K2" s="21"/>
    </row>
    <row r="3" spans="1:11">
      <c r="A3" s="21"/>
      <c r="B3" s="21"/>
      <c r="C3" s="21"/>
      <c r="D3" s="21"/>
      <c r="E3" s="21"/>
      <c r="F3" s="21"/>
      <c r="G3" s="21"/>
      <c r="H3" s="21"/>
      <c r="I3" s="21"/>
      <c r="J3" s="21"/>
      <c r="K3" s="21"/>
    </row>
    <row r="4" spans="1:11">
      <c r="A4" s="21"/>
      <c r="B4" s="21"/>
      <c r="C4" s="21"/>
      <c r="D4" s="21"/>
      <c r="E4" s="21"/>
      <c r="F4" s="21"/>
      <c r="G4" s="21"/>
      <c r="H4" s="21"/>
      <c r="I4" s="21"/>
      <c r="J4" s="21"/>
      <c r="K4" s="21"/>
    </row>
    <row r="5" spans="1:11">
      <c r="A5" s="21"/>
      <c r="B5" s="21"/>
      <c r="C5" s="21"/>
      <c r="D5" s="21"/>
      <c r="E5" s="21"/>
      <c r="F5" s="21"/>
      <c r="G5" s="21"/>
      <c r="H5" s="21"/>
      <c r="I5" s="21"/>
      <c r="J5" s="21"/>
      <c r="K5" s="21"/>
    </row>
    <row r="6" spans="1:11">
      <c r="A6" s="21"/>
      <c r="B6" s="21"/>
      <c r="C6" s="21"/>
      <c r="D6" s="21"/>
      <c r="E6" s="21"/>
      <c r="F6" s="21"/>
      <c r="G6" s="21"/>
      <c r="H6" s="21"/>
      <c r="I6" s="21"/>
      <c r="J6" s="21"/>
      <c r="K6" s="21"/>
    </row>
    <row r="7" spans="1:11">
      <c r="A7" s="21"/>
      <c r="B7" s="21"/>
      <c r="C7" s="21"/>
      <c r="D7" s="21"/>
      <c r="E7" s="21"/>
      <c r="F7" s="21"/>
      <c r="G7" s="21"/>
      <c r="H7" s="21"/>
      <c r="I7" s="21"/>
      <c r="J7" s="21"/>
      <c r="K7" s="21"/>
    </row>
    <row r="8" spans="1:11">
      <c r="A8" s="21"/>
      <c r="B8" s="21"/>
      <c r="C8" s="21"/>
      <c r="D8" s="21"/>
      <c r="E8" s="21"/>
      <c r="F8" s="21"/>
      <c r="G8" s="21"/>
      <c r="H8" s="21"/>
      <c r="I8" s="21"/>
      <c r="J8" s="21"/>
      <c r="K8" s="21"/>
    </row>
    <row r="9" spans="1:11">
      <c r="A9" s="21"/>
      <c r="B9" s="21"/>
      <c r="C9" s="21"/>
      <c r="D9" s="21"/>
      <c r="E9" s="21"/>
      <c r="F9" s="21"/>
      <c r="G9" s="21"/>
      <c r="H9" s="21"/>
      <c r="I9" s="21"/>
      <c r="J9" s="21"/>
      <c r="K9" s="21"/>
    </row>
    <row r="10" spans="1:11">
      <c r="A10" s="21"/>
      <c r="B10" s="21"/>
      <c r="C10" s="21"/>
      <c r="D10" s="21"/>
      <c r="E10" s="21"/>
      <c r="F10" s="21"/>
      <c r="G10" s="21"/>
      <c r="H10" s="21"/>
      <c r="I10" s="21"/>
      <c r="J10" s="21"/>
      <c r="K10" s="21"/>
    </row>
    <row r="11" spans="1:11">
      <c r="A11" s="21"/>
      <c r="B11" s="21"/>
      <c r="C11" s="21"/>
      <c r="D11" s="21"/>
      <c r="E11" s="21"/>
      <c r="F11" s="21"/>
      <c r="G11" s="21"/>
      <c r="H11" s="21"/>
      <c r="I11" s="21"/>
      <c r="J11" s="21"/>
      <c r="K11" s="21"/>
    </row>
    <row r="12" spans="1:11">
      <c r="A12" s="21"/>
      <c r="B12" s="21"/>
      <c r="C12" s="21"/>
      <c r="D12" s="21"/>
      <c r="E12" s="21"/>
      <c r="F12" s="21"/>
      <c r="G12" s="21"/>
      <c r="H12" s="21"/>
      <c r="I12" s="21"/>
      <c r="J12" s="21"/>
      <c r="K12" s="21"/>
    </row>
    <row r="13" spans="1:11">
      <c r="A13" s="21"/>
      <c r="B13" s="21"/>
      <c r="C13" s="21"/>
      <c r="D13" s="21"/>
      <c r="E13" s="21"/>
      <c r="F13" s="21"/>
      <c r="G13" s="21"/>
      <c r="H13" s="21"/>
      <c r="I13" s="21"/>
      <c r="J13" s="21"/>
      <c r="K13" s="21"/>
    </row>
    <row r="14" spans="1:11">
      <c r="A14" s="21"/>
      <c r="B14" s="21"/>
      <c r="C14" s="21"/>
      <c r="D14" s="21"/>
      <c r="E14" s="21"/>
      <c r="F14" s="21"/>
      <c r="G14" s="21"/>
      <c r="H14" s="21"/>
      <c r="I14" s="21"/>
      <c r="J14" s="21"/>
      <c r="K14" s="21"/>
    </row>
    <row r="15" spans="1:11">
      <c r="A15" s="21"/>
      <c r="B15" s="21"/>
      <c r="C15" s="21"/>
      <c r="D15" s="21"/>
      <c r="E15" s="21"/>
      <c r="F15" s="21"/>
      <c r="G15" s="21"/>
      <c r="H15" s="21"/>
      <c r="I15" s="21"/>
      <c r="J15" s="21"/>
      <c r="K15" s="21"/>
    </row>
    <row r="16" spans="1:11">
      <c r="A16" s="21"/>
      <c r="B16" s="21"/>
      <c r="C16" s="21"/>
      <c r="D16" s="21"/>
      <c r="E16" s="21"/>
      <c r="F16" s="21"/>
      <c r="G16" s="21"/>
      <c r="H16" s="21"/>
      <c r="I16" s="21"/>
      <c r="J16" s="21"/>
      <c r="K16" s="21"/>
    </row>
    <row r="17" spans="1:11">
      <c r="A17" s="21"/>
      <c r="B17" s="21"/>
      <c r="C17" s="21"/>
      <c r="D17" s="21"/>
      <c r="E17" s="21"/>
      <c r="F17" s="21"/>
      <c r="G17" s="21"/>
      <c r="H17" s="21"/>
      <c r="I17" s="21"/>
      <c r="J17" s="21"/>
      <c r="K17" s="21"/>
    </row>
    <row r="18" spans="1:11">
      <c r="A18" s="21"/>
      <c r="B18" s="21"/>
      <c r="C18" s="21"/>
      <c r="D18" s="21"/>
      <c r="E18" s="21"/>
      <c r="F18" s="21"/>
      <c r="G18" s="21"/>
      <c r="H18" s="21"/>
      <c r="I18" s="21"/>
      <c r="J18" s="21"/>
      <c r="K18" s="21"/>
    </row>
    <row r="19" spans="1:11">
      <c r="A19" s="21"/>
      <c r="B19" s="21"/>
      <c r="C19" s="21"/>
      <c r="D19" s="21"/>
      <c r="E19" s="21"/>
      <c r="F19" s="21"/>
      <c r="G19" s="21"/>
      <c r="H19" s="21"/>
      <c r="I19" s="21"/>
      <c r="J19" s="21"/>
      <c r="K19" s="21"/>
    </row>
    <row r="20" spans="1:11">
      <c r="A20" s="21"/>
      <c r="B20" s="21"/>
      <c r="C20" s="21"/>
      <c r="D20" s="21"/>
      <c r="E20" s="21"/>
      <c r="F20" s="21"/>
      <c r="G20" s="21"/>
      <c r="H20" s="21"/>
      <c r="I20" s="21"/>
      <c r="J20" s="21"/>
      <c r="K20" s="21"/>
    </row>
    <row r="21" spans="1:11">
      <c r="A21" s="21"/>
      <c r="B21" s="21"/>
      <c r="C21" s="21"/>
      <c r="D21" s="21"/>
      <c r="E21" s="21"/>
      <c r="F21" s="21"/>
      <c r="G21" s="21"/>
      <c r="H21" s="21"/>
      <c r="I21" s="21"/>
      <c r="J21" s="21"/>
      <c r="K21" s="21"/>
    </row>
    <row r="22" spans="1:11">
      <c r="A22" s="21"/>
      <c r="B22" s="21"/>
      <c r="C22" s="21"/>
      <c r="D22" s="21"/>
      <c r="E22" s="21"/>
      <c r="F22" s="21"/>
      <c r="G22" s="21"/>
      <c r="H22" s="21"/>
      <c r="I22" s="21"/>
      <c r="J22" s="21"/>
      <c r="K22" s="21"/>
    </row>
    <row r="23" spans="1:11">
      <c r="A23" s="21"/>
      <c r="B23" s="21"/>
      <c r="C23" s="21"/>
      <c r="D23" s="21"/>
      <c r="E23" s="21"/>
      <c r="F23" s="21"/>
      <c r="G23" s="21"/>
      <c r="H23" s="21"/>
      <c r="I23" s="21"/>
      <c r="J23" s="21"/>
      <c r="K23" s="21"/>
    </row>
    <row r="24" spans="1:11">
      <c r="A24" s="21"/>
      <c r="B24" s="21"/>
      <c r="C24" s="21"/>
      <c r="D24" s="21"/>
      <c r="E24" s="21"/>
      <c r="F24" s="21"/>
      <c r="G24" s="21"/>
      <c r="H24" s="21"/>
      <c r="I24" s="21"/>
      <c r="J24" s="21"/>
      <c r="K24" s="21"/>
    </row>
    <row r="25" spans="1:11">
      <c r="A25" s="21"/>
      <c r="B25" s="21"/>
      <c r="C25" s="21"/>
      <c r="D25" s="21"/>
      <c r="E25" s="21"/>
      <c r="F25" s="21"/>
      <c r="G25" s="21"/>
      <c r="H25" s="21"/>
      <c r="I25" s="21"/>
      <c r="J25" s="21"/>
      <c r="K25" s="21"/>
    </row>
    <row r="26" spans="1:11">
      <c r="A26" s="21"/>
      <c r="B26" s="21"/>
      <c r="C26" s="21"/>
      <c r="D26" s="21"/>
      <c r="E26" s="21"/>
      <c r="F26" s="21"/>
      <c r="G26" s="21"/>
      <c r="H26" s="21"/>
      <c r="I26" s="21"/>
      <c r="J26" s="21"/>
      <c r="K26" s="21"/>
    </row>
    <row r="27" spans="1:11">
      <c r="A27" s="21"/>
      <c r="B27" s="21"/>
      <c r="C27" s="21"/>
      <c r="D27" s="21"/>
      <c r="E27" s="21"/>
      <c r="F27" s="21"/>
      <c r="G27" s="21"/>
      <c r="H27" s="21"/>
      <c r="I27" s="21"/>
      <c r="J27" s="21"/>
      <c r="K27" s="21"/>
    </row>
    <row r="28" spans="1:11">
      <c r="A28" s="21"/>
      <c r="B28" s="21"/>
      <c r="C28" s="21"/>
      <c r="D28" s="21"/>
      <c r="E28" s="21"/>
      <c r="F28" s="21"/>
      <c r="G28" s="21"/>
      <c r="H28" s="21"/>
      <c r="I28" s="21"/>
      <c r="J28" s="21"/>
      <c r="K28" s="21"/>
    </row>
    <row r="29" spans="1:11">
      <c r="A29" s="21"/>
      <c r="B29" s="21"/>
      <c r="C29" s="21"/>
      <c r="D29" s="21"/>
      <c r="E29" s="21"/>
      <c r="F29" s="21"/>
      <c r="G29" s="21"/>
      <c r="H29" s="21"/>
      <c r="I29" s="21"/>
      <c r="J29" s="21"/>
      <c r="K29" s="21"/>
    </row>
    <row r="30" spans="1:11">
      <c r="A30" s="21"/>
      <c r="B30" s="21"/>
      <c r="C30" s="21"/>
      <c r="D30" s="21"/>
      <c r="E30" s="21"/>
      <c r="F30" s="21"/>
      <c r="G30" s="21"/>
      <c r="H30" s="21"/>
      <c r="I30" s="21"/>
      <c r="J30" s="21"/>
      <c r="K30" s="21"/>
    </row>
    <row r="31" spans="1:11">
      <c r="A31" s="21"/>
      <c r="B31" s="21"/>
      <c r="C31" s="21"/>
      <c r="D31" s="21"/>
      <c r="E31" s="21"/>
      <c r="F31" s="21"/>
      <c r="G31" s="21"/>
      <c r="H31" s="21"/>
      <c r="I31" s="21"/>
      <c r="J31" s="21"/>
      <c r="K31" s="21"/>
    </row>
    <row r="32" spans="1:11">
      <c r="A32" s="21"/>
      <c r="B32" s="21"/>
      <c r="C32" s="21"/>
      <c r="D32" s="21"/>
      <c r="E32" s="21"/>
      <c r="F32" s="21"/>
      <c r="G32" s="21"/>
      <c r="H32" s="21"/>
      <c r="I32" s="21"/>
      <c r="J32" s="21"/>
      <c r="K32" s="21"/>
    </row>
    <row r="33" spans="1:11">
      <c r="A33" s="21"/>
      <c r="B33" s="21"/>
      <c r="C33" s="21"/>
      <c r="D33" s="21"/>
      <c r="E33" s="21"/>
      <c r="F33" s="21"/>
      <c r="G33" s="21"/>
      <c r="H33" s="21"/>
      <c r="I33" s="21"/>
      <c r="J33" s="21"/>
      <c r="K33" s="21"/>
    </row>
    <row r="34" spans="1:11">
      <c r="A34" s="21"/>
      <c r="B34" s="21"/>
      <c r="C34" s="21"/>
      <c r="D34" s="21"/>
      <c r="E34" s="21"/>
      <c r="F34" s="21"/>
      <c r="G34" s="21"/>
      <c r="H34" s="21"/>
      <c r="I34" s="21"/>
      <c r="J34" s="21"/>
      <c r="K34" s="21"/>
    </row>
    <row r="35" spans="1:11">
      <c r="A35" s="21"/>
      <c r="B35" s="21"/>
      <c r="C35" s="21"/>
      <c r="D35" s="21"/>
      <c r="E35" s="21"/>
      <c r="F35" s="21"/>
      <c r="G35" s="21"/>
      <c r="H35" s="21"/>
      <c r="I35" s="21"/>
      <c r="J35" s="21"/>
      <c r="K35" s="21"/>
    </row>
    <row r="36" spans="1:11">
      <c r="A36" s="21"/>
      <c r="B36" s="21"/>
      <c r="C36" s="21"/>
      <c r="D36" s="21"/>
      <c r="E36" s="21"/>
      <c r="F36" s="21"/>
      <c r="G36" s="21"/>
      <c r="H36" s="21"/>
      <c r="I36" s="21"/>
      <c r="J36" s="21"/>
      <c r="K36" s="21"/>
    </row>
    <row r="37" spans="1:11">
      <c r="A37" s="21"/>
      <c r="B37" s="21"/>
      <c r="C37" s="21"/>
      <c r="D37" s="21"/>
      <c r="E37" s="21"/>
      <c r="F37" s="21"/>
      <c r="G37" s="21"/>
      <c r="H37" s="21"/>
      <c r="I37" s="21"/>
      <c r="J37" s="21"/>
      <c r="K37" s="21"/>
    </row>
    <row r="38" spans="1:11">
      <c r="A38" s="21"/>
      <c r="B38" s="21"/>
      <c r="C38" s="21"/>
      <c r="D38" s="21"/>
      <c r="E38" s="21"/>
      <c r="F38" s="21"/>
      <c r="G38" s="21"/>
      <c r="H38" s="21"/>
      <c r="I38" s="21"/>
      <c r="J38" s="21"/>
      <c r="K38" s="21"/>
    </row>
    <row r="39" spans="1:11">
      <c r="A39" s="21"/>
      <c r="B39" s="21"/>
      <c r="C39" s="21"/>
      <c r="D39" s="21"/>
      <c r="E39" s="21"/>
      <c r="F39" s="21"/>
      <c r="G39" s="21"/>
      <c r="H39" s="21"/>
      <c r="I39" s="21"/>
      <c r="J39" s="21"/>
      <c r="K39" s="21"/>
    </row>
    <row r="40" spans="1:11">
      <c r="A40" s="21"/>
      <c r="B40" s="21"/>
      <c r="C40" s="21"/>
      <c r="D40" s="21"/>
      <c r="E40" s="21"/>
      <c r="F40" s="21"/>
      <c r="G40" s="21"/>
      <c r="H40" s="21"/>
      <c r="I40" s="21"/>
      <c r="J40" s="21"/>
      <c r="K40" s="21"/>
    </row>
    <row r="41" spans="1:11">
      <c r="A41" s="21"/>
      <c r="B41" s="21"/>
      <c r="C41" s="21"/>
      <c r="D41" s="21"/>
      <c r="E41" s="21"/>
      <c r="F41" s="21"/>
      <c r="G41" s="21"/>
      <c r="H41" s="21"/>
      <c r="I41" s="21"/>
      <c r="J41" s="21"/>
      <c r="K41" s="21"/>
    </row>
    <row r="42" spans="1:11">
      <c r="A42" s="21"/>
      <c r="B42" s="21"/>
      <c r="C42" s="21"/>
      <c r="D42" s="21"/>
      <c r="E42" s="21"/>
      <c r="F42" s="21"/>
      <c r="G42" s="21"/>
      <c r="H42" s="21"/>
      <c r="I42" s="21"/>
      <c r="J42" s="21"/>
      <c r="K42" s="21"/>
    </row>
    <row r="43" spans="1:11">
      <c r="A43" s="21"/>
      <c r="B43" s="21"/>
      <c r="C43" s="21"/>
      <c r="D43" s="21"/>
      <c r="E43" s="21"/>
      <c r="F43" s="21"/>
      <c r="G43" s="21"/>
      <c r="H43" s="21"/>
      <c r="I43" s="21"/>
      <c r="J43" s="21"/>
      <c r="K43" s="21"/>
    </row>
    <row r="44" spans="1:11">
      <c r="A44" s="21"/>
      <c r="B44" s="21"/>
      <c r="C44" s="21"/>
      <c r="D44" s="21"/>
      <c r="E44" s="21"/>
      <c r="F44" s="21"/>
      <c r="G44" s="21"/>
      <c r="H44" s="21"/>
      <c r="I44" s="21"/>
      <c r="J44" s="21"/>
      <c r="K44" s="21"/>
    </row>
    <row r="45" spans="1:11">
      <c r="A45" s="21"/>
      <c r="B45" s="21"/>
      <c r="C45" s="21"/>
      <c r="D45" s="21"/>
      <c r="E45" s="21"/>
      <c r="F45" s="21"/>
      <c r="G45" s="21"/>
      <c r="H45" s="21"/>
      <c r="I45" s="21"/>
      <c r="J45" s="21"/>
      <c r="K45" s="21"/>
    </row>
    <row r="46" spans="1:11">
      <c r="A46" s="21"/>
      <c r="B46" s="21"/>
      <c r="C46" s="21"/>
      <c r="D46" s="21"/>
      <c r="E46" s="21"/>
      <c r="F46" s="21"/>
      <c r="G46" s="21"/>
      <c r="H46" s="21"/>
      <c r="I46" s="21"/>
      <c r="J46" s="21"/>
      <c r="K46" s="21"/>
    </row>
    <row r="47" spans="1:11">
      <c r="A47" s="21"/>
      <c r="B47" s="21"/>
      <c r="C47" s="21"/>
      <c r="D47" s="21"/>
      <c r="E47" s="21"/>
      <c r="F47" s="21"/>
      <c r="G47" s="21"/>
      <c r="H47" s="21"/>
      <c r="I47" s="21"/>
      <c r="J47" s="21"/>
      <c r="K47" s="21"/>
    </row>
    <row r="48" spans="1:11">
      <c r="A48" s="21"/>
      <c r="B48" s="21"/>
      <c r="C48" s="21"/>
      <c r="D48" s="21"/>
      <c r="E48" s="21"/>
      <c r="F48" s="21"/>
      <c r="G48" s="21"/>
      <c r="H48" s="21"/>
      <c r="I48" s="21"/>
      <c r="J48" s="21"/>
      <c r="K48" s="21"/>
    </row>
    <row r="49" spans="1:11">
      <c r="A49" s="21"/>
      <c r="B49" s="21"/>
      <c r="C49" s="21"/>
      <c r="D49" s="21"/>
      <c r="E49" s="21"/>
      <c r="F49" s="21"/>
      <c r="G49" s="21"/>
      <c r="H49" s="21"/>
      <c r="I49" s="21"/>
      <c r="J49" s="21"/>
      <c r="K49" s="21"/>
    </row>
    <row r="50" spans="1:11">
      <c r="A50" s="21"/>
      <c r="B50" s="21"/>
      <c r="C50" s="21"/>
      <c r="D50" s="21"/>
      <c r="E50" s="21"/>
      <c r="F50" s="21"/>
      <c r="G50" s="21"/>
      <c r="H50" s="21"/>
      <c r="I50" s="21"/>
      <c r="J50" s="21"/>
      <c r="K50" s="21"/>
    </row>
    <row r="51" spans="1:11">
      <c r="A51" s="21"/>
      <c r="B51" s="21"/>
      <c r="C51" s="21"/>
      <c r="D51" s="21"/>
      <c r="E51" s="21"/>
      <c r="F51" s="21"/>
      <c r="G51" s="21"/>
      <c r="H51" s="21"/>
      <c r="I51" s="21"/>
      <c r="J51" s="21"/>
      <c r="K51" s="21"/>
    </row>
    <row r="52" spans="1:11">
      <c r="A52" s="21"/>
      <c r="B52" s="21"/>
      <c r="C52" s="21"/>
      <c r="D52" s="21"/>
      <c r="E52" s="21"/>
      <c r="F52" s="21"/>
      <c r="G52" s="21"/>
      <c r="H52" s="21"/>
      <c r="I52" s="21"/>
      <c r="J52" s="21"/>
      <c r="K52" s="21"/>
    </row>
    <row r="53" spans="1:11">
      <c r="A53" s="21"/>
      <c r="B53" s="21"/>
      <c r="C53" s="21"/>
      <c r="D53" s="21"/>
      <c r="E53" s="21"/>
      <c r="F53" s="21"/>
      <c r="G53" s="21"/>
      <c r="H53" s="21"/>
      <c r="I53" s="21"/>
      <c r="J53" s="21"/>
      <c r="K53" s="21"/>
    </row>
    <row r="54" spans="1:11">
      <c r="A54" s="21"/>
      <c r="B54" s="21"/>
      <c r="C54" s="21"/>
      <c r="D54" s="21"/>
      <c r="E54" s="21"/>
      <c r="F54" s="21"/>
      <c r="G54" s="21"/>
      <c r="H54" s="21"/>
      <c r="I54" s="21"/>
      <c r="J54" s="21"/>
      <c r="K54" s="21"/>
    </row>
    <row r="55" spans="1:11">
      <c r="A55" s="21"/>
      <c r="B55" s="21"/>
      <c r="C55" s="21"/>
      <c r="D55" s="21"/>
      <c r="E55" s="21"/>
      <c r="F55" s="21"/>
      <c r="G55" s="21"/>
      <c r="H55" s="21"/>
      <c r="I55" s="21"/>
      <c r="J55" s="21"/>
      <c r="K55" s="21"/>
    </row>
    <row r="56" spans="1:11">
      <c r="A56" s="21"/>
      <c r="B56" s="21"/>
      <c r="C56" s="21"/>
      <c r="D56" s="21"/>
      <c r="E56" s="21"/>
      <c r="F56" s="21"/>
      <c r="G56" s="21"/>
      <c r="H56" s="21"/>
      <c r="I56" s="21"/>
      <c r="J56" s="21"/>
      <c r="K56" s="21"/>
    </row>
    <row r="57" spans="1:11">
      <c r="A57" s="21"/>
      <c r="B57" s="21"/>
      <c r="C57" s="21"/>
      <c r="D57" s="21"/>
      <c r="E57" s="21"/>
      <c r="F57" s="21"/>
      <c r="G57" s="21"/>
      <c r="H57" s="21"/>
      <c r="I57" s="21"/>
      <c r="J57" s="21"/>
      <c r="K57" s="21"/>
    </row>
    <row r="58" spans="1:11">
      <c r="A58" s="21"/>
      <c r="B58" s="21"/>
      <c r="C58" s="21"/>
      <c r="D58" s="21"/>
      <c r="E58" s="21"/>
      <c r="F58" s="21"/>
      <c r="G58" s="21"/>
      <c r="H58" s="21"/>
      <c r="I58" s="21"/>
      <c r="J58" s="21"/>
      <c r="K58" s="21"/>
    </row>
    <row r="59" spans="1:11">
      <c r="A59" s="21"/>
      <c r="B59" s="21"/>
      <c r="C59" s="21"/>
      <c r="D59" s="21"/>
      <c r="E59" s="21"/>
      <c r="F59" s="21"/>
      <c r="G59" s="21"/>
      <c r="H59" s="21"/>
      <c r="I59" s="21"/>
      <c r="J59" s="21"/>
      <c r="K59" s="21"/>
    </row>
    <row r="60" spans="1:11">
      <c r="A60" s="21"/>
      <c r="B60" s="21"/>
      <c r="C60" s="21"/>
      <c r="D60" s="21"/>
      <c r="E60" s="21"/>
      <c r="F60" s="21"/>
      <c r="G60" s="21"/>
      <c r="H60" s="21"/>
      <c r="I60" s="21"/>
      <c r="J60" s="21"/>
      <c r="K60" s="21"/>
    </row>
    <row r="61" spans="1:11">
      <c r="A61" s="21"/>
      <c r="B61" s="21"/>
      <c r="C61" s="21"/>
      <c r="D61" s="21"/>
      <c r="E61" s="21"/>
      <c r="F61" s="21"/>
      <c r="G61" s="21"/>
      <c r="H61" s="21"/>
      <c r="I61" s="21"/>
      <c r="J61" s="21"/>
      <c r="K61" s="21"/>
    </row>
    <row r="62" spans="1:11">
      <c r="A62" s="21"/>
      <c r="B62" s="21"/>
      <c r="C62" s="21"/>
      <c r="D62" s="21"/>
      <c r="E62" s="21"/>
      <c r="F62" s="21"/>
      <c r="G62" s="21"/>
      <c r="H62" s="21"/>
      <c r="I62" s="21"/>
      <c r="J62" s="21"/>
      <c r="K62" s="21"/>
    </row>
    <row r="63" spans="1:11">
      <c r="A63" s="21"/>
      <c r="B63" s="21"/>
      <c r="C63" s="21"/>
      <c r="D63" s="21"/>
      <c r="E63" s="21"/>
      <c r="F63" s="21"/>
      <c r="G63" s="21"/>
      <c r="H63" s="21"/>
      <c r="I63" s="21"/>
      <c r="J63" s="21"/>
      <c r="K63" s="21"/>
    </row>
    <row r="64" spans="1:11">
      <c r="A64" s="21"/>
      <c r="B64" s="21"/>
      <c r="C64" s="21"/>
      <c r="D64" s="21"/>
      <c r="E64" s="21"/>
      <c r="F64" s="21"/>
      <c r="G64" s="21"/>
      <c r="H64" s="21"/>
      <c r="I64" s="21"/>
      <c r="J64" s="21"/>
      <c r="K64" s="21"/>
    </row>
    <row r="65" spans="1:11">
      <c r="A65" s="21"/>
      <c r="B65" s="21"/>
      <c r="C65" s="21"/>
      <c r="D65" s="21"/>
      <c r="E65" s="21"/>
      <c r="F65" s="21"/>
      <c r="G65" s="21"/>
      <c r="H65" s="21"/>
      <c r="I65" s="21"/>
      <c r="J65" s="21"/>
      <c r="K65" s="21"/>
    </row>
    <row r="66" spans="1:11">
      <c r="A66" s="21"/>
      <c r="B66" s="21"/>
      <c r="C66" s="21"/>
      <c r="D66" s="21"/>
      <c r="E66" s="21"/>
      <c r="F66" s="21"/>
      <c r="G66" s="21"/>
      <c r="H66" s="21"/>
      <c r="I66" s="21"/>
      <c r="J66" s="21"/>
      <c r="K66" s="21"/>
    </row>
    <row r="67" spans="1:11">
      <c r="A67" s="21"/>
      <c r="B67" s="21"/>
      <c r="C67" s="21"/>
      <c r="D67" s="21"/>
      <c r="E67" s="21"/>
      <c r="F67" s="21"/>
      <c r="G67" s="21"/>
      <c r="H67" s="21"/>
      <c r="I67" s="21"/>
      <c r="J67" s="21"/>
      <c r="K67" s="21"/>
    </row>
    <row r="68" spans="1:11">
      <c r="A68" s="21"/>
      <c r="B68" s="21"/>
      <c r="C68" s="21"/>
      <c r="D68" s="21"/>
      <c r="E68" s="21"/>
      <c r="F68" s="21"/>
      <c r="G68" s="21"/>
      <c r="H68" s="21"/>
      <c r="I68" s="21"/>
      <c r="J68" s="21"/>
      <c r="K68" s="21"/>
    </row>
    <row r="69" spans="1:11">
      <c r="A69" s="21"/>
      <c r="B69" s="21"/>
      <c r="C69" s="21"/>
      <c r="D69" s="21"/>
      <c r="E69" s="21"/>
      <c r="F69" s="21"/>
      <c r="G69" s="21"/>
      <c r="H69" s="21"/>
      <c r="I69" s="21"/>
      <c r="J69" s="21"/>
      <c r="K69" s="21"/>
    </row>
    <row r="70" spans="1:11">
      <c r="A70" s="21"/>
      <c r="B70" s="21"/>
      <c r="C70" s="21"/>
      <c r="D70" s="21"/>
      <c r="E70" s="21"/>
      <c r="F70" s="21"/>
      <c r="G70" s="21"/>
      <c r="H70" s="21"/>
      <c r="I70" s="21"/>
      <c r="J70" s="21"/>
      <c r="K70" s="21"/>
    </row>
    <row r="71" spans="1:11">
      <c r="A71" s="21"/>
      <c r="B71" s="21"/>
      <c r="C71" s="21"/>
      <c r="D71" s="21"/>
      <c r="E71" s="21"/>
      <c r="F71" s="21"/>
      <c r="G71" s="21"/>
      <c r="H71" s="21"/>
      <c r="I71" s="21"/>
      <c r="J71" s="21"/>
      <c r="K71" s="21"/>
    </row>
    <row r="72" spans="1:11">
      <c r="A72" s="21"/>
      <c r="B72" s="21"/>
      <c r="C72" s="21"/>
      <c r="D72" s="21"/>
      <c r="E72" s="21"/>
      <c r="F72" s="21"/>
      <c r="G72" s="21"/>
      <c r="H72" s="21"/>
      <c r="I72" s="21"/>
      <c r="J72" s="21"/>
      <c r="K72" s="21"/>
    </row>
    <row r="73" spans="1:11">
      <c r="A73" s="21"/>
      <c r="B73" s="21"/>
      <c r="C73" s="21"/>
      <c r="D73" s="21"/>
      <c r="E73" s="21"/>
      <c r="F73" s="21"/>
      <c r="G73" s="21"/>
      <c r="H73" s="21"/>
      <c r="I73" s="21"/>
      <c r="J73" s="21"/>
      <c r="K73" s="21"/>
    </row>
    <row r="74" spans="1:11">
      <c r="A74" s="21"/>
      <c r="B74" s="21"/>
      <c r="C74" s="21"/>
      <c r="D74" s="21"/>
      <c r="E74" s="21"/>
      <c r="F74" s="21"/>
      <c r="G74" s="21"/>
      <c r="H74" s="21"/>
      <c r="I74" s="21"/>
      <c r="J74" s="21"/>
      <c r="K74" s="21"/>
    </row>
    <row r="75" spans="1:11">
      <c r="A75" s="21"/>
      <c r="B75" s="21"/>
      <c r="C75" s="21"/>
      <c r="D75" s="21"/>
      <c r="E75" s="21"/>
      <c r="F75" s="21"/>
      <c r="G75" s="21"/>
      <c r="H75" s="21"/>
      <c r="I75" s="21"/>
      <c r="J75" s="21"/>
      <c r="K75" s="21"/>
    </row>
    <row r="76" spans="1:11">
      <c r="A76" s="21"/>
      <c r="B76" s="21"/>
      <c r="C76" s="21"/>
      <c r="D76" s="21"/>
      <c r="E76" s="21"/>
      <c r="F76" s="21"/>
      <c r="G76" s="21"/>
      <c r="H76" s="21"/>
      <c r="I76" s="21"/>
      <c r="J76" s="21"/>
      <c r="K76" s="21"/>
    </row>
    <row r="77" spans="1:11">
      <c r="A77" s="21"/>
      <c r="B77" s="21"/>
      <c r="C77" s="21"/>
      <c r="D77" s="21"/>
      <c r="E77" s="21"/>
      <c r="F77" s="21"/>
      <c r="G77" s="21"/>
      <c r="H77" s="21"/>
      <c r="I77" s="21"/>
      <c r="J77" s="21"/>
      <c r="K77" s="21"/>
    </row>
    <row r="78" spans="1:11">
      <c r="A78" s="21"/>
      <c r="B78" s="21"/>
      <c r="C78" s="21"/>
      <c r="D78" s="21"/>
      <c r="E78" s="21"/>
      <c r="F78" s="21"/>
      <c r="G78" s="21"/>
      <c r="H78" s="21"/>
      <c r="I78" s="21"/>
      <c r="J78" s="21"/>
      <c r="K78" s="21"/>
    </row>
    <row r="79" spans="1:11">
      <c r="A79" s="21"/>
      <c r="B79" s="21"/>
      <c r="C79" s="21"/>
      <c r="D79" s="21"/>
      <c r="E79" s="21"/>
      <c r="F79" s="21"/>
      <c r="G79" s="21"/>
      <c r="H79" s="21"/>
      <c r="I79" s="21"/>
      <c r="J79" s="21"/>
      <c r="K79" s="21"/>
    </row>
    <row r="80" spans="1:11">
      <c r="A80" s="21"/>
      <c r="B80" s="21"/>
      <c r="C80" s="21"/>
      <c r="D80" s="21"/>
      <c r="E80" s="21"/>
      <c r="F80" s="21"/>
      <c r="G80" s="21"/>
      <c r="H80" s="21"/>
      <c r="I80" s="21"/>
      <c r="J80" s="21"/>
      <c r="K80" s="21"/>
    </row>
    <row r="81" spans="1:11">
      <c r="A81" s="21"/>
      <c r="B81" s="21"/>
      <c r="C81" s="21"/>
      <c r="D81" s="21"/>
      <c r="E81" s="21"/>
      <c r="F81" s="21"/>
      <c r="G81" s="21"/>
      <c r="H81" s="21"/>
      <c r="I81" s="21"/>
      <c r="J81" s="21"/>
      <c r="K81" s="21"/>
    </row>
    <row r="82" spans="1:11">
      <c r="A82" s="21"/>
      <c r="B82" s="21"/>
      <c r="C82" s="21"/>
      <c r="D82" s="21"/>
      <c r="E82" s="21"/>
      <c r="F82" s="21"/>
      <c r="G82" s="21"/>
      <c r="H82" s="21"/>
      <c r="I82" s="21"/>
      <c r="J82" s="21"/>
      <c r="K82" s="21"/>
    </row>
    <row r="83" spans="1:11">
      <c r="A83" s="21"/>
      <c r="B83" s="21"/>
      <c r="C83" s="21"/>
      <c r="D83" s="21"/>
      <c r="E83" s="21"/>
      <c r="F83" s="21"/>
      <c r="G83" s="21"/>
      <c r="H83" s="21"/>
      <c r="I83" s="21"/>
      <c r="J83" s="21"/>
      <c r="K83" s="21"/>
    </row>
    <row r="84" spans="1:11">
      <c r="A84" s="21"/>
      <c r="B84" s="21"/>
      <c r="C84" s="21"/>
      <c r="D84" s="21"/>
      <c r="E84" s="21"/>
      <c r="F84" s="21"/>
      <c r="G84" s="21"/>
      <c r="H84" s="21"/>
      <c r="I84" s="21"/>
      <c r="J84" s="21"/>
      <c r="K84" s="21"/>
    </row>
    <row r="85" spans="1:11">
      <c r="A85" s="21"/>
      <c r="B85" s="21"/>
      <c r="C85" s="21"/>
      <c r="D85" s="21"/>
      <c r="E85" s="21"/>
      <c r="F85" s="21"/>
      <c r="G85" s="21"/>
      <c r="H85" s="21"/>
      <c r="I85" s="21"/>
      <c r="J85" s="21"/>
      <c r="K85" s="21"/>
    </row>
    <row r="86" spans="1:11">
      <c r="A86" s="21"/>
      <c r="B86" s="21"/>
      <c r="C86" s="21"/>
      <c r="D86" s="21"/>
      <c r="E86" s="21"/>
      <c r="F86" s="21"/>
      <c r="G86" s="21"/>
      <c r="H86" s="21"/>
      <c r="I86" s="21"/>
      <c r="J86" s="21"/>
      <c r="K86" s="21"/>
    </row>
    <row r="87" spans="1:11">
      <c r="A87" s="21"/>
      <c r="B87" s="21"/>
      <c r="C87" s="21"/>
      <c r="D87" s="21"/>
      <c r="E87" s="21"/>
      <c r="F87" s="21"/>
      <c r="G87" s="21"/>
      <c r="H87" s="21"/>
      <c r="I87" s="21"/>
      <c r="J87" s="21"/>
      <c r="K87" s="21"/>
    </row>
    <row r="88" spans="1:11">
      <c r="A88" s="21"/>
      <c r="B88" s="21"/>
      <c r="C88" s="21"/>
      <c r="D88" s="21"/>
      <c r="E88" s="21"/>
      <c r="F88" s="21"/>
      <c r="G88" s="21"/>
      <c r="H88" s="21"/>
      <c r="I88" s="21"/>
      <c r="J88" s="21"/>
      <c r="K88" s="21"/>
    </row>
    <row r="89" spans="1:11">
      <c r="A89" s="21"/>
      <c r="B89" s="21"/>
      <c r="C89" s="21"/>
      <c r="D89" s="21"/>
      <c r="E89" s="21"/>
      <c r="F89" s="21"/>
      <c r="G89" s="21"/>
      <c r="H89" s="21"/>
      <c r="I89" s="21"/>
      <c r="J89" s="21"/>
      <c r="K89" s="21"/>
    </row>
    <row r="90" spans="1:11">
      <c r="A90" s="21"/>
      <c r="B90" s="21"/>
      <c r="C90" s="21"/>
      <c r="D90" s="21"/>
      <c r="E90" s="21"/>
      <c r="F90" s="21"/>
      <c r="G90" s="21"/>
      <c r="H90" s="21"/>
      <c r="I90" s="21"/>
      <c r="J90" s="21"/>
      <c r="K90" s="21"/>
    </row>
    <row r="91" spans="1:11">
      <c r="A91" s="21"/>
      <c r="B91" s="21"/>
      <c r="C91" s="21"/>
      <c r="D91" s="21"/>
      <c r="E91" s="21"/>
      <c r="F91" s="21"/>
      <c r="G91" s="21"/>
      <c r="H91" s="21"/>
      <c r="I91" s="21"/>
      <c r="J91" s="21"/>
      <c r="K91" s="21"/>
    </row>
    <row r="92" spans="1:11">
      <c r="A92" s="21"/>
      <c r="B92" s="21"/>
      <c r="C92" s="21"/>
      <c r="D92" s="21"/>
      <c r="E92" s="21"/>
      <c r="F92" s="21"/>
      <c r="G92" s="21"/>
      <c r="H92" s="21"/>
      <c r="I92" s="21"/>
      <c r="J92" s="21"/>
      <c r="K92" s="21"/>
    </row>
    <row r="93" spans="1:11">
      <c r="A93" s="21"/>
      <c r="B93" s="21"/>
      <c r="C93" s="21"/>
      <c r="D93" s="21"/>
      <c r="E93" s="21"/>
      <c r="F93" s="21"/>
      <c r="G93" s="21"/>
      <c r="H93" s="21"/>
      <c r="I93" s="21"/>
      <c r="J93" s="21"/>
      <c r="K93" s="21"/>
    </row>
    <row r="94" spans="1:11">
      <c r="A94" s="21"/>
      <c r="B94" s="21"/>
      <c r="C94" s="21"/>
      <c r="D94" s="21"/>
      <c r="E94" s="21"/>
      <c r="F94" s="21"/>
      <c r="G94" s="21"/>
      <c r="H94" s="21"/>
      <c r="I94" s="21"/>
      <c r="J94" s="21"/>
      <c r="K94" s="21"/>
    </row>
  </sheetData>
  <sheetProtection formatColumns="0" formatRows="0" insertColumns="0" insertRows="0"/>
  <printOptions horizontalCentered="1"/>
  <pageMargins left="0.25" right="0.25" top="0.75" bottom="0.75" header="0.3" footer="0.3"/>
  <pageSetup orientation="portrait" r:id="rId1"/>
  <headerFooter scaleWithDoc="0">
    <oddHeader>&amp;C&amp;"-,Bold"&amp;20RERC Cap Rate Data - Regional</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61" r:id="rId4" name="Button 1">
              <controlPr defaultSize="0" print="0" autoFill="0" autoPict="0" macro="[0]!PasteImageWithBorder_ExtraPage">
                <anchor moveWithCells="1" sizeWithCells="1">
                  <from>
                    <xdr:col>12</xdr:col>
                    <xdr:colOff>312420</xdr:colOff>
                    <xdr:row>3</xdr:row>
                    <xdr:rowOff>0</xdr:rowOff>
                  </from>
                  <to>
                    <xdr:col>15</xdr:col>
                    <xdr:colOff>304800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69707-EDC9-41DC-A01E-63156FDD0E49}">
  <sheetPr codeName="Sheet59">
    <tabColor theme="9" tint="-0.249977111117893"/>
  </sheetPr>
  <dimension ref="A1:K94"/>
  <sheetViews>
    <sheetView view="pageBreakPreview" topLeftCell="A4" zoomScale="130" zoomScaleNormal="115" zoomScaleSheetLayoutView="130" zoomScalePageLayoutView="115" workbookViewId="0">
      <selection activeCell="A2" sqref="A2"/>
    </sheetView>
  </sheetViews>
  <sheetFormatPr defaultRowHeight="14.4"/>
  <cols>
    <col min="1" max="1" width="9.6640625" customWidth="1"/>
    <col min="11" max="11" width="9.6640625" customWidth="1"/>
  </cols>
  <sheetData>
    <row r="1" spans="1:11">
      <c r="A1" s="21"/>
      <c r="B1" s="21"/>
      <c r="C1" s="21"/>
      <c r="D1" s="21"/>
      <c r="E1" s="21"/>
      <c r="F1" s="21"/>
      <c r="G1" s="21"/>
      <c r="H1" s="21"/>
      <c r="I1" s="21"/>
      <c r="J1" s="21"/>
      <c r="K1" s="21"/>
    </row>
    <row r="2" spans="1:11">
      <c r="A2" s="21"/>
      <c r="B2" s="21"/>
      <c r="C2" s="21"/>
      <c r="D2" s="21"/>
      <c r="E2" s="21"/>
      <c r="F2" s="21"/>
      <c r="G2" s="21"/>
      <c r="H2" s="21"/>
      <c r="I2" s="21"/>
      <c r="J2" s="21"/>
      <c r="K2" s="21"/>
    </row>
    <row r="3" spans="1:11">
      <c r="A3" s="21"/>
      <c r="B3" s="21"/>
      <c r="C3" s="21"/>
      <c r="D3" s="21"/>
      <c r="E3" s="21"/>
      <c r="F3" s="21"/>
      <c r="G3" s="21"/>
      <c r="H3" s="21"/>
      <c r="I3" s="21"/>
      <c r="J3" s="21"/>
      <c r="K3" s="21"/>
    </row>
    <row r="4" spans="1:11">
      <c r="A4" s="21"/>
      <c r="B4" s="21"/>
      <c r="C4" s="21"/>
      <c r="D4" s="21"/>
      <c r="E4" s="21"/>
      <c r="F4" s="21"/>
      <c r="G4" s="21"/>
      <c r="H4" s="21"/>
      <c r="I4" s="21"/>
      <c r="J4" s="21"/>
      <c r="K4" s="21"/>
    </row>
    <row r="5" spans="1:11">
      <c r="A5" s="21"/>
      <c r="B5" s="21"/>
      <c r="C5" s="21"/>
      <c r="D5" s="21"/>
      <c r="E5" s="21"/>
      <c r="F5" s="21"/>
      <c r="G5" s="21"/>
      <c r="H5" s="21"/>
      <c r="I5" s="21"/>
      <c r="J5" s="21"/>
      <c r="K5" s="21"/>
    </row>
    <row r="6" spans="1:11">
      <c r="A6" s="21"/>
      <c r="B6" s="21"/>
      <c r="C6" s="21"/>
      <c r="D6" s="21"/>
      <c r="E6" s="21"/>
      <c r="F6" s="21"/>
      <c r="G6" s="21"/>
      <c r="H6" s="21"/>
      <c r="I6" s="21"/>
      <c r="J6" s="21"/>
      <c r="K6" s="21"/>
    </row>
    <row r="7" spans="1:11">
      <c r="A7" s="21"/>
      <c r="B7" s="21"/>
      <c r="C7" s="21"/>
      <c r="D7" s="21"/>
      <c r="E7" s="21"/>
      <c r="F7" s="21"/>
      <c r="G7" s="21"/>
      <c r="H7" s="21"/>
      <c r="I7" s="21"/>
      <c r="J7" s="21"/>
      <c r="K7" s="21"/>
    </row>
    <row r="8" spans="1:11">
      <c r="A8" s="21"/>
      <c r="B8" s="21"/>
      <c r="C8" s="21"/>
      <c r="D8" s="21"/>
      <c r="E8" s="21"/>
      <c r="F8" s="21"/>
      <c r="G8" s="21"/>
      <c r="H8" s="21"/>
      <c r="I8" s="21"/>
      <c r="J8" s="21"/>
      <c r="K8" s="21"/>
    </row>
    <row r="9" spans="1:11">
      <c r="A9" s="21"/>
      <c r="B9" s="21"/>
      <c r="C9" s="21"/>
      <c r="D9" s="21"/>
      <c r="E9" s="21"/>
      <c r="F9" s="21"/>
      <c r="G9" s="21"/>
      <c r="H9" s="21"/>
      <c r="I9" s="21"/>
      <c r="J9" s="21"/>
      <c r="K9" s="21"/>
    </row>
    <row r="10" spans="1:11">
      <c r="A10" s="21"/>
      <c r="B10" s="21"/>
      <c r="C10" s="21"/>
      <c r="D10" s="21"/>
      <c r="E10" s="21"/>
      <c r="F10" s="21"/>
      <c r="G10" s="21"/>
      <c r="H10" s="21"/>
      <c r="I10" s="21"/>
      <c r="J10" s="21"/>
      <c r="K10" s="21"/>
    </row>
    <row r="11" spans="1:11">
      <c r="A11" s="21"/>
      <c r="B11" s="21"/>
      <c r="C11" s="21"/>
      <c r="D11" s="21"/>
      <c r="E11" s="21"/>
      <c r="F11" s="21"/>
      <c r="G11" s="21"/>
      <c r="H11" s="21"/>
      <c r="I11" s="21"/>
      <c r="J11" s="21"/>
      <c r="K11" s="21"/>
    </row>
    <row r="12" spans="1:11">
      <c r="A12" s="21"/>
      <c r="B12" s="21"/>
      <c r="C12" s="21"/>
      <c r="D12" s="21"/>
      <c r="E12" s="21"/>
      <c r="F12" s="21"/>
      <c r="G12" s="21"/>
      <c r="H12" s="21"/>
      <c r="I12" s="21"/>
      <c r="J12" s="21"/>
      <c r="K12" s="21"/>
    </row>
    <row r="13" spans="1:11">
      <c r="A13" s="21"/>
      <c r="B13" s="21"/>
      <c r="C13" s="21"/>
      <c r="D13" s="21"/>
      <c r="E13" s="21"/>
      <c r="F13" s="21"/>
      <c r="G13" s="21"/>
      <c r="H13" s="21"/>
      <c r="I13" s="21"/>
      <c r="J13" s="21"/>
      <c r="K13" s="21"/>
    </row>
    <row r="14" spans="1:11">
      <c r="A14" s="21"/>
      <c r="B14" s="21"/>
      <c r="C14" s="21"/>
      <c r="D14" s="21"/>
      <c r="E14" s="21"/>
      <c r="F14" s="21"/>
      <c r="G14" s="21"/>
      <c r="H14" s="21"/>
      <c r="I14" s="21"/>
      <c r="J14" s="21"/>
      <c r="K14" s="21"/>
    </row>
    <row r="15" spans="1:11">
      <c r="A15" s="21"/>
      <c r="B15" s="21"/>
      <c r="C15" s="21"/>
      <c r="D15" s="21"/>
      <c r="E15" s="21"/>
      <c r="F15" s="21"/>
      <c r="G15" s="21"/>
      <c r="H15" s="21"/>
      <c r="I15" s="21"/>
      <c r="J15" s="21"/>
      <c r="K15" s="21"/>
    </row>
    <row r="16" spans="1:11">
      <c r="A16" s="21"/>
      <c r="B16" s="21"/>
      <c r="C16" s="21"/>
      <c r="D16" s="21"/>
      <c r="E16" s="21"/>
      <c r="F16" s="21"/>
      <c r="G16" s="21"/>
      <c r="H16" s="21"/>
      <c r="I16" s="21"/>
      <c r="J16" s="21"/>
      <c r="K16" s="21"/>
    </row>
    <row r="17" spans="1:11">
      <c r="A17" s="21"/>
      <c r="B17" s="21"/>
      <c r="C17" s="21"/>
      <c r="D17" s="21"/>
      <c r="E17" s="21"/>
      <c r="F17" s="21"/>
      <c r="G17" s="21"/>
      <c r="H17" s="21"/>
      <c r="I17" s="21"/>
      <c r="J17" s="21"/>
      <c r="K17" s="21"/>
    </row>
    <row r="18" spans="1:11">
      <c r="A18" s="21"/>
      <c r="B18" s="21"/>
      <c r="C18" s="21"/>
      <c r="D18" s="21"/>
      <c r="E18" s="21"/>
      <c r="F18" s="21"/>
      <c r="G18" s="21"/>
      <c r="H18" s="21"/>
      <c r="I18" s="21"/>
      <c r="J18" s="21"/>
      <c r="K18" s="21"/>
    </row>
    <row r="19" spans="1:11">
      <c r="A19" s="21"/>
      <c r="B19" s="21"/>
      <c r="C19" s="21"/>
      <c r="D19" s="21"/>
      <c r="E19" s="21"/>
      <c r="F19" s="21"/>
      <c r="G19" s="21"/>
      <c r="H19" s="21"/>
      <c r="I19" s="21"/>
      <c r="J19" s="21"/>
      <c r="K19" s="21"/>
    </row>
    <row r="20" spans="1:11">
      <c r="A20" s="21"/>
      <c r="B20" s="21"/>
      <c r="C20" s="21"/>
      <c r="D20" s="21"/>
      <c r="E20" s="21"/>
      <c r="F20" s="21"/>
      <c r="G20" s="21"/>
      <c r="H20" s="21"/>
      <c r="I20" s="21"/>
      <c r="J20" s="21"/>
      <c r="K20" s="21"/>
    </row>
    <row r="21" spans="1:11">
      <c r="A21" s="21"/>
      <c r="B21" s="21"/>
      <c r="C21" s="21"/>
      <c r="D21" s="21"/>
      <c r="E21" s="21"/>
      <c r="F21" s="21"/>
      <c r="G21" s="21"/>
      <c r="H21" s="21"/>
      <c r="I21" s="21"/>
      <c r="J21" s="21"/>
      <c r="K21" s="21"/>
    </row>
    <row r="22" spans="1:11">
      <c r="A22" s="21"/>
      <c r="B22" s="21"/>
      <c r="C22" s="21"/>
      <c r="D22" s="21"/>
      <c r="E22" s="21"/>
      <c r="F22" s="21"/>
      <c r="G22" s="21"/>
      <c r="H22" s="21"/>
      <c r="I22" s="21"/>
      <c r="J22" s="21"/>
      <c r="K22" s="21"/>
    </row>
    <row r="23" spans="1:11">
      <c r="A23" s="21"/>
      <c r="B23" s="21"/>
      <c r="C23" s="21"/>
      <c r="D23" s="21"/>
      <c r="E23" s="21"/>
      <c r="F23" s="21"/>
      <c r="G23" s="21"/>
      <c r="H23" s="21"/>
      <c r="I23" s="21"/>
      <c r="J23" s="21"/>
      <c r="K23" s="21"/>
    </row>
    <row r="24" spans="1:11">
      <c r="A24" s="21"/>
      <c r="B24" s="21"/>
      <c r="C24" s="21"/>
      <c r="D24" s="21"/>
      <c r="E24" s="21"/>
      <c r="F24" s="21"/>
      <c r="G24" s="21"/>
      <c r="H24" s="21"/>
      <c r="I24" s="21"/>
      <c r="J24" s="21"/>
      <c r="K24" s="21"/>
    </row>
    <row r="25" spans="1:11">
      <c r="A25" s="21"/>
      <c r="B25" s="21"/>
      <c r="C25" s="21"/>
      <c r="D25" s="21"/>
      <c r="E25" s="21"/>
      <c r="F25" s="21"/>
      <c r="G25" s="21"/>
      <c r="H25" s="21"/>
      <c r="I25" s="21"/>
      <c r="J25" s="21"/>
      <c r="K25" s="21"/>
    </row>
    <row r="26" spans="1:11">
      <c r="A26" s="21"/>
      <c r="B26" s="21"/>
      <c r="C26" s="21"/>
      <c r="D26" s="21"/>
      <c r="E26" s="21"/>
      <c r="F26" s="21"/>
      <c r="G26" s="21"/>
      <c r="H26" s="21"/>
      <c r="I26" s="21"/>
      <c r="J26" s="21"/>
      <c r="K26" s="21"/>
    </row>
    <row r="27" spans="1:11">
      <c r="A27" s="21"/>
      <c r="B27" s="21"/>
      <c r="C27" s="21"/>
      <c r="D27" s="21"/>
      <c r="E27" s="21"/>
      <c r="F27" s="21"/>
      <c r="G27" s="21"/>
      <c r="H27" s="21"/>
      <c r="I27" s="21"/>
      <c r="J27" s="21"/>
      <c r="K27" s="21"/>
    </row>
    <row r="28" spans="1:11">
      <c r="A28" s="21"/>
      <c r="B28" s="21"/>
      <c r="C28" s="21"/>
      <c r="D28" s="21"/>
      <c r="E28" s="21"/>
      <c r="F28" s="21"/>
      <c r="G28" s="21"/>
      <c r="H28" s="21"/>
      <c r="I28" s="21"/>
      <c r="J28" s="21"/>
      <c r="K28" s="21"/>
    </row>
    <row r="29" spans="1:11" ht="21">
      <c r="A29" s="862" t="s">
        <v>513</v>
      </c>
      <c r="B29" s="862"/>
      <c r="C29" s="862"/>
      <c r="D29" s="862"/>
      <c r="E29" s="862"/>
      <c r="F29" s="862"/>
      <c r="G29" s="862"/>
      <c r="H29" s="862"/>
      <c r="I29" s="862"/>
      <c r="J29" s="862"/>
      <c r="K29" s="862"/>
    </row>
    <row r="30" spans="1:11">
      <c r="A30" s="21"/>
      <c r="B30" s="21"/>
      <c r="C30" s="21"/>
      <c r="D30" s="21"/>
      <c r="E30" s="21"/>
      <c r="F30" s="21"/>
      <c r="G30" s="21"/>
      <c r="H30" s="21"/>
      <c r="I30" s="21"/>
      <c r="J30" s="21"/>
      <c r="K30" s="21"/>
    </row>
    <row r="31" spans="1:11">
      <c r="A31" s="21"/>
      <c r="B31" s="21"/>
      <c r="C31" s="21"/>
      <c r="D31" s="21"/>
      <c r="E31" s="21"/>
      <c r="F31" s="21"/>
      <c r="G31" s="21"/>
      <c r="H31" s="21"/>
      <c r="I31" s="21"/>
      <c r="J31" s="21"/>
      <c r="K31" s="21"/>
    </row>
    <row r="32" spans="1:11">
      <c r="A32" s="21"/>
      <c r="B32" s="21"/>
      <c r="C32" s="21"/>
      <c r="D32" s="21"/>
      <c r="E32" s="21"/>
      <c r="F32" s="21"/>
      <c r="G32" s="21"/>
      <c r="H32" s="21"/>
      <c r="I32" s="21"/>
      <c r="J32" s="21"/>
      <c r="K32" s="21"/>
    </row>
    <row r="33" spans="1:11">
      <c r="A33" s="21"/>
      <c r="B33" s="21"/>
      <c r="C33" s="21"/>
      <c r="D33" s="21"/>
      <c r="E33" s="21"/>
      <c r="F33" s="21"/>
      <c r="G33" s="21"/>
      <c r="H33" s="21"/>
      <c r="I33" s="21"/>
      <c r="J33" s="21"/>
      <c r="K33" s="21"/>
    </row>
    <row r="34" spans="1:11">
      <c r="A34" s="21"/>
      <c r="B34" s="21"/>
      <c r="C34" s="21"/>
      <c r="D34" s="21"/>
      <c r="E34" s="21"/>
      <c r="F34" s="21"/>
      <c r="G34" s="21"/>
      <c r="H34" s="21"/>
      <c r="I34" s="21"/>
      <c r="J34" s="21"/>
      <c r="K34" s="21"/>
    </row>
    <row r="35" spans="1:11">
      <c r="A35" s="21"/>
      <c r="B35" s="21"/>
      <c r="C35" s="21"/>
      <c r="D35" s="21"/>
      <c r="E35" s="21"/>
      <c r="F35" s="21"/>
      <c r="G35" s="21"/>
      <c r="H35" s="21"/>
      <c r="I35" s="21"/>
      <c r="J35" s="21"/>
      <c r="K35" s="21"/>
    </row>
    <row r="36" spans="1:11">
      <c r="A36" s="21"/>
      <c r="B36" s="21"/>
      <c r="C36" s="21"/>
      <c r="D36" s="21"/>
      <c r="E36" s="21"/>
      <c r="F36" s="21"/>
      <c r="G36" s="21"/>
      <c r="H36" s="21"/>
      <c r="I36" s="21"/>
      <c r="J36" s="21"/>
      <c r="K36" s="21"/>
    </row>
    <row r="37" spans="1:11">
      <c r="A37" s="21"/>
      <c r="B37" s="21"/>
      <c r="C37" s="21"/>
      <c r="D37" s="21"/>
      <c r="E37" s="21"/>
      <c r="F37" s="21"/>
      <c r="G37" s="21"/>
      <c r="H37" s="21"/>
      <c r="I37" s="21"/>
      <c r="J37" s="21"/>
      <c r="K37" s="21"/>
    </row>
    <row r="38" spans="1:11">
      <c r="A38" s="21"/>
      <c r="B38" s="21"/>
      <c r="C38" s="21"/>
      <c r="D38" s="21"/>
      <c r="E38" s="21"/>
      <c r="F38" s="21"/>
      <c r="G38" s="21"/>
      <c r="H38" s="21"/>
      <c r="I38" s="21"/>
      <c r="J38" s="21"/>
      <c r="K38" s="21"/>
    </row>
    <row r="39" spans="1:11">
      <c r="A39" s="21"/>
      <c r="B39" s="21"/>
      <c r="C39" s="21"/>
      <c r="D39" s="21"/>
      <c r="E39" s="21"/>
      <c r="F39" s="21"/>
      <c r="G39" s="21"/>
      <c r="H39" s="21"/>
      <c r="I39" s="21"/>
      <c r="J39" s="21"/>
      <c r="K39" s="21"/>
    </row>
    <row r="40" spans="1:11">
      <c r="A40" s="21"/>
      <c r="B40" s="21"/>
      <c r="C40" s="21"/>
      <c r="D40" s="21"/>
      <c r="E40" s="21"/>
      <c r="F40" s="21"/>
      <c r="G40" s="21"/>
      <c r="H40" s="21"/>
      <c r="I40" s="21"/>
      <c r="J40" s="21"/>
      <c r="K40" s="21"/>
    </row>
    <row r="41" spans="1:11">
      <c r="A41" s="21"/>
      <c r="B41" s="21"/>
      <c r="C41" s="21"/>
      <c r="D41" s="21"/>
      <c r="E41" s="21"/>
      <c r="F41" s="21"/>
      <c r="G41" s="21"/>
      <c r="H41" s="21"/>
      <c r="I41" s="21"/>
      <c r="J41" s="21"/>
      <c r="K41" s="21"/>
    </row>
    <row r="42" spans="1:11">
      <c r="A42" s="21"/>
      <c r="B42" s="21"/>
      <c r="C42" s="21"/>
      <c r="D42" s="21"/>
      <c r="E42" s="21"/>
      <c r="F42" s="21"/>
      <c r="G42" s="21"/>
      <c r="H42" s="21"/>
      <c r="I42" s="21"/>
      <c r="J42" s="21"/>
      <c r="K42" s="21"/>
    </row>
    <row r="43" spans="1:11">
      <c r="A43" s="21"/>
      <c r="B43" s="21"/>
      <c r="C43" s="21"/>
      <c r="D43" s="21"/>
      <c r="E43" s="21"/>
      <c r="F43" s="21"/>
      <c r="G43" s="21"/>
      <c r="H43" s="21"/>
      <c r="I43" s="21"/>
      <c r="J43" s="21"/>
      <c r="K43" s="21"/>
    </row>
    <row r="44" spans="1:11">
      <c r="A44" s="21"/>
      <c r="B44" s="21"/>
      <c r="C44" s="21"/>
      <c r="D44" s="21"/>
      <c r="E44" s="21"/>
      <c r="F44" s="21"/>
      <c r="G44" s="21"/>
      <c r="H44" s="21"/>
      <c r="I44" s="21"/>
      <c r="J44" s="21"/>
      <c r="K44" s="21"/>
    </row>
    <row r="45" spans="1:11">
      <c r="A45" s="21"/>
      <c r="B45" s="21"/>
      <c r="C45" s="21"/>
      <c r="D45" s="21"/>
      <c r="E45" s="21"/>
      <c r="F45" s="21"/>
      <c r="G45" s="21"/>
      <c r="H45" s="21"/>
      <c r="I45" s="21"/>
      <c r="J45" s="21"/>
      <c r="K45" s="21"/>
    </row>
    <row r="46" spans="1:11">
      <c r="A46" s="21"/>
      <c r="B46" s="21"/>
      <c r="C46" s="21"/>
      <c r="D46" s="21"/>
      <c r="E46" s="21"/>
      <c r="F46" s="21"/>
      <c r="G46" s="21"/>
      <c r="H46" s="21"/>
      <c r="I46" s="21"/>
      <c r="J46" s="21"/>
      <c r="K46" s="21"/>
    </row>
    <row r="47" spans="1:11">
      <c r="A47" s="21"/>
      <c r="B47" s="21"/>
      <c r="C47" s="21"/>
      <c r="D47" s="21"/>
      <c r="E47" s="21"/>
      <c r="F47" s="21"/>
      <c r="G47" s="21"/>
      <c r="H47" s="21"/>
      <c r="I47" s="21"/>
      <c r="J47" s="21"/>
      <c r="K47" s="21"/>
    </row>
    <row r="48" spans="1:11">
      <c r="A48" s="21"/>
      <c r="B48" s="21"/>
      <c r="C48" s="21"/>
      <c r="D48" s="21"/>
      <c r="E48" s="21"/>
      <c r="F48" s="21"/>
      <c r="G48" s="21"/>
      <c r="H48" s="21"/>
      <c r="I48" s="21"/>
      <c r="J48" s="21"/>
      <c r="K48" s="21"/>
    </row>
    <row r="49" spans="1:11">
      <c r="A49" s="21"/>
      <c r="B49" s="21"/>
      <c r="C49" s="21"/>
      <c r="D49" s="21"/>
      <c r="E49" s="21"/>
      <c r="F49" s="21"/>
      <c r="G49" s="21"/>
      <c r="H49" s="21"/>
      <c r="I49" s="21"/>
      <c r="J49" s="21"/>
      <c r="K49" s="21"/>
    </row>
    <row r="50" spans="1:11">
      <c r="A50" s="21"/>
      <c r="B50" s="21"/>
      <c r="C50" s="21"/>
      <c r="D50" s="21"/>
      <c r="E50" s="21"/>
      <c r="F50" s="21"/>
      <c r="G50" s="21"/>
      <c r="H50" s="21"/>
      <c r="I50" s="21"/>
      <c r="J50" s="21"/>
      <c r="K50" s="21"/>
    </row>
    <row r="51" spans="1:11">
      <c r="A51" s="21"/>
      <c r="B51" s="21"/>
      <c r="C51" s="21"/>
      <c r="D51" s="21"/>
      <c r="E51" s="21"/>
      <c r="F51" s="21"/>
      <c r="G51" s="21"/>
      <c r="H51" s="21"/>
      <c r="I51" s="21"/>
      <c r="J51" s="21"/>
      <c r="K51" s="21"/>
    </row>
    <row r="52" spans="1:11">
      <c r="A52" s="21"/>
      <c r="B52" s="21"/>
      <c r="C52" s="21"/>
      <c r="D52" s="21"/>
      <c r="E52" s="21"/>
      <c r="F52" s="21"/>
      <c r="G52" s="21"/>
      <c r="H52" s="21"/>
      <c r="I52" s="21"/>
      <c r="J52" s="21"/>
      <c r="K52" s="21"/>
    </row>
    <row r="53" spans="1:11">
      <c r="A53" s="21"/>
      <c r="B53" s="21"/>
      <c r="C53" s="21"/>
      <c r="D53" s="21"/>
      <c r="E53" s="21"/>
      <c r="F53" s="21"/>
      <c r="G53" s="21"/>
      <c r="H53" s="21"/>
      <c r="I53" s="21"/>
      <c r="J53" s="21"/>
      <c r="K53" s="21"/>
    </row>
    <row r="54" spans="1:11">
      <c r="A54" s="21"/>
      <c r="B54" s="21"/>
      <c r="C54" s="21"/>
      <c r="D54" s="21"/>
      <c r="E54" s="21"/>
      <c r="F54" s="21"/>
      <c r="G54" s="21"/>
      <c r="H54" s="21"/>
      <c r="I54" s="21"/>
      <c r="J54" s="21"/>
      <c r="K54" s="21"/>
    </row>
    <row r="55" spans="1:11">
      <c r="A55" s="21"/>
      <c r="B55" s="21"/>
      <c r="C55" s="21"/>
      <c r="D55" s="21"/>
      <c r="E55" s="21"/>
      <c r="F55" s="21"/>
      <c r="G55" s="21"/>
      <c r="H55" s="21"/>
      <c r="I55" s="21"/>
      <c r="J55" s="21"/>
      <c r="K55" s="21"/>
    </row>
    <row r="56" spans="1:11">
      <c r="A56" s="21"/>
      <c r="B56" s="21"/>
      <c r="C56" s="21"/>
      <c r="D56" s="21"/>
      <c r="E56" s="21"/>
      <c r="F56" s="21"/>
      <c r="G56" s="21"/>
      <c r="H56" s="21"/>
      <c r="I56" s="21"/>
      <c r="J56" s="21"/>
      <c r="K56" s="21"/>
    </row>
    <row r="57" spans="1:11">
      <c r="A57" s="21"/>
      <c r="B57" s="21"/>
      <c r="C57" s="21"/>
      <c r="D57" s="21"/>
      <c r="E57" s="21"/>
      <c r="F57" s="21"/>
      <c r="G57" s="21"/>
      <c r="H57" s="21"/>
      <c r="I57" s="21"/>
      <c r="J57" s="21"/>
      <c r="K57" s="21"/>
    </row>
    <row r="58" spans="1:11">
      <c r="A58" s="21"/>
      <c r="B58" s="21"/>
      <c r="C58" s="21"/>
      <c r="D58" s="21"/>
      <c r="E58" s="21"/>
      <c r="F58" s="21"/>
      <c r="G58" s="21"/>
      <c r="H58" s="21"/>
      <c r="I58" s="21"/>
      <c r="J58" s="21"/>
      <c r="K58" s="21"/>
    </row>
    <row r="59" spans="1:11">
      <c r="A59" s="21"/>
      <c r="B59" s="21"/>
      <c r="C59" s="21"/>
      <c r="D59" s="21"/>
      <c r="E59" s="21"/>
      <c r="F59" s="21"/>
      <c r="G59" s="21"/>
      <c r="H59" s="21"/>
      <c r="I59" s="21"/>
      <c r="J59" s="21"/>
      <c r="K59" s="21"/>
    </row>
    <row r="60" spans="1:11">
      <c r="A60" s="21"/>
      <c r="B60" s="21"/>
      <c r="C60" s="21"/>
      <c r="D60" s="21"/>
      <c r="E60" s="21"/>
      <c r="F60" s="21"/>
      <c r="G60" s="21"/>
      <c r="H60" s="21"/>
      <c r="I60" s="21"/>
      <c r="J60" s="21"/>
      <c r="K60" s="21"/>
    </row>
    <row r="61" spans="1:11">
      <c r="A61" s="21"/>
      <c r="B61" s="21"/>
      <c r="C61" s="21"/>
      <c r="D61" s="21"/>
      <c r="E61" s="21"/>
      <c r="F61" s="21"/>
      <c r="G61" s="21"/>
      <c r="H61" s="21"/>
      <c r="I61" s="21"/>
      <c r="J61" s="21"/>
      <c r="K61" s="21"/>
    </row>
    <row r="62" spans="1:11">
      <c r="A62" s="21"/>
      <c r="B62" s="21"/>
      <c r="C62" s="21"/>
      <c r="D62" s="21"/>
      <c r="E62" s="21"/>
      <c r="F62" s="21"/>
      <c r="G62" s="21"/>
      <c r="H62" s="21"/>
      <c r="I62" s="21"/>
      <c r="J62" s="21"/>
      <c r="K62" s="21"/>
    </row>
    <row r="63" spans="1:11">
      <c r="A63" s="21"/>
      <c r="B63" s="21"/>
      <c r="C63" s="21"/>
      <c r="D63" s="21"/>
      <c r="E63" s="21"/>
      <c r="F63" s="21"/>
      <c r="G63" s="21"/>
      <c r="H63" s="21"/>
      <c r="I63" s="21"/>
      <c r="J63" s="21"/>
      <c r="K63" s="21"/>
    </row>
    <row r="64" spans="1:11">
      <c r="A64" s="21"/>
      <c r="B64" s="21"/>
      <c r="C64" s="21"/>
      <c r="D64" s="21"/>
      <c r="E64" s="21"/>
      <c r="F64" s="21"/>
      <c r="G64" s="21"/>
      <c r="H64" s="21"/>
      <c r="I64" s="21"/>
      <c r="J64" s="21"/>
      <c r="K64" s="21"/>
    </row>
    <row r="65" spans="1:11">
      <c r="A65" s="21"/>
      <c r="B65" s="21"/>
      <c r="C65" s="21"/>
      <c r="D65" s="21"/>
      <c r="E65" s="21"/>
      <c r="F65" s="21"/>
      <c r="G65" s="21"/>
      <c r="H65" s="21"/>
      <c r="I65" s="21"/>
      <c r="J65" s="21"/>
      <c r="K65" s="21"/>
    </row>
    <row r="66" spans="1:11">
      <c r="A66" s="21"/>
      <c r="B66" s="21"/>
      <c r="C66" s="21"/>
      <c r="D66" s="21"/>
      <c r="E66" s="21"/>
      <c r="F66" s="21"/>
      <c r="G66" s="21"/>
      <c r="H66" s="21"/>
      <c r="I66" s="21"/>
      <c r="J66" s="21"/>
      <c r="K66" s="21"/>
    </row>
    <row r="67" spans="1:11">
      <c r="A67" s="21"/>
      <c r="B67" s="21"/>
      <c r="C67" s="21"/>
      <c r="D67" s="21"/>
      <c r="E67" s="21"/>
      <c r="F67" s="21"/>
      <c r="G67" s="21"/>
      <c r="H67" s="21"/>
      <c r="I67" s="21"/>
      <c r="J67" s="21"/>
      <c r="K67" s="21"/>
    </row>
    <row r="68" spans="1:11">
      <c r="A68" s="21"/>
      <c r="B68" s="21"/>
      <c r="C68" s="21"/>
      <c r="D68" s="21"/>
      <c r="E68" s="21"/>
      <c r="F68" s="21"/>
      <c r="G68" s="21"/>
      <c r="H68" s="21"/>
      <c r="I68" s="21"/>
      <c r="J68" s="21"/>
      <c r="K68" s="21"/>
    </row>
    <row r="69" spans="1:11">
      <c r="A69" s="21"/>
      <c r="B69" s="21"/>
      <c r="C69" s="21"/>
      <c r="D69" s="21"/>
      <c r="E69" s="21"/>
      <c r="F69" s="21"/>
      <c r="G69" s="21"/>
      <c r="H69" s="21"/>
      <c r="I69" s="21"/>
      <c r="J69" s="21"/>
      <c r="K69" s="21"/>
    </row>
    <row r="70" spans="1:11">
      <c r="A70" s="21"/>
      <c r="B70" s="21"/>
      <c r="C70" s="21"/>
      <c r="D70" s="21"/>
      <c r="E70" s="21"/>
      <c r="F70" s="21"/>
      <c r="G70" s="21"/>
      <c r="H70" s="21"/>
      <c r="I70" s="21"/>
      <c r="J70" s="21"/>
      <c r="K70" s="21"/>
    </row>
    <row r="71" spans="1:11">
      <c r="A71" s="21"/>
      <c r="B71" s="21"/>
      <c r="C71" s="21"/>
      <c r="D71" s="21"/>
      <c r="E71" s="21"/>
      <c r="F71" s="21"/>
      <c r="G71" s="21"/>
      <c r="H71" s="21"/>
      <c r="I71" s="21"/>
      <c r="J71" s="21"/>
      <c r="K71" s="21"/>
    </row>
    <row r="72" spans="1:11">
      <c r="A72" s="21"/>
      <c r="B72" s="21"/>
      <c r="C72" s="21"/>
      <c r="D72" s="21"/>
      <c r="E72" s="21"/>
      <c r="F72" s="21"/>
      <c r="G72" s="21"/>
      <c r="H72" s="21"/>
      <c r="I72" s="21"/>
      <c r="J72" s="21"/>
      <c r="K72" s="21"/>
    </row>
    <row r="73" spans="1:11">
      <c r="A73" s="21"/>
      <c r="B73" s="21"/>
      <c r="C73" s="21"/>
      <c r="D73" s="21"/>
      <c r="E73" s="21"/>
      <c r="F73" s="21"/>
      <c r="G73" s="21"/>
      <c r="H73" s="21"/>
      <c r="I73" s="21"/>
      <c r="J73" s="21"/>
      <c r="K73" s="21"/>
    </row>
    <row r="74" spans="1:11">
      <c r="A74" s="21"/>
      <c r="B74" s="21"/>
      <c r="C74" s="21"/>
      <c r="D74" s="21"/>
      <c r="E74" s="21"/>
      <c r="F74" s="21"/>
      <c r="G74" s="21"/>
      <c r="H74" s="21"/>
      <c r="I74" s="21"/>
      <c r="J74" s="21"/>
      <c r="K74" s="21"/>
    </row>
    <row r="75" spans="1:11">
      <c r="A75" s="21"/>
      <c r="B75" s="21"/>
      <c r="C75" s="21"/>
      <c r="D75" s="21"/>
      <c r="E75" s="21"/>
      <c r="F75" s="21"/>
      <c r="G75" s="21"/>
      <c r="H75" s="21"/>
      <c r="I75" s="21"/>
      <c r="J75" s="21"/>
      <c r="K75" s="21"/>
    </row>
    <row r="76" spans="1:11">
      <c r="A76" s="21"/>
      <c r="B76" s="21"/>
      <c r="C76" s="21"/>
      <c r="D76" s="21"/>
      <c r="E76" s="21"/>
      <c r="F76" s="21"/>
      <c r="G76" s="21"/>
      <c r="H76" s="21"/>
      <c r="I76" s="21"/>
      <c r="J76" s="21"/>
      <c r="K76" s="21"/>
    </row>
    <row r="77" spans="1:11">
      <c r="A77" s="21"/>
      <c r="B77" s="21"/>
      <c r="C77" s="21"/>
      <c r="D77" s="21"/>
      <c r="E77" s="21"/>
      <c r="F77" s="21"/>
      <c r="G77" s="21"/>
      <c r="H77" s="21"/>
      <c r="I77" s="21"/>
      <c r="J77" s="21"/>
      <c r="K77" s="21"/>
    </row>
    <row r="78" spans="1:11">
      <c r="A78" s="21"/>
      <c r="B78" s="21"/>
      <c r="C78" s="21"/>
      <c r="D78" s="21"/>
      <c r="E78" s="21"/>
      <c r="F78" s="21"/>
      <c r="G78" s="21"/>
      <c r="H78" s="21"/>
      <c r="I78" s="21"/>
      <c r="J78" s="21"/>
      <c r="K78" s="21"/>
    </row>
    <row r="79" spans="1:11">
      <c r="A79" s="21"/>
      <c r="B79" s="21"/>
      <c r="C79" s="21"/>
      <c r="D79" s="21"/>
      <c r="E79" s="21"/>
      <c r="F79" s="21"/>
      <c r="G79" s="21"/>
      <c r="H79" s="21"/>
      <c r="I79" s="21"/>
      <c r="J79" s="21"/>
      <c r="K79" s="21"/>
    </row>
    <row r="80" spans="1:11">
      <c r="A80" s="21"/>
      <c r="B80" s="21"/>
      <c r="C80" s="21"/>
      <c r="D80" s="21"/>
      <c r="E80" s="21"/>
      <c r="F80" s="21"/>
      <c r="G80" s="21"/>
      <c r="H80" s="21"/>
      <c r="I80" s="21"/>
      <c r="J80" s="21"/>
      <c r="K80" s="21"/>
    </row>
    <row r="81" spans="1:11">
      <c r="A81" s="21"/>
      <c r="B81" s="21"/>
      <c r="C81" s="21"/>
      <c r="D81" s="21"/>
      <c r="E81" s="21"/>
      <c r="F81" s="21"/>
      <c r="G81" s="21"/>
      <c r="H81" s="21"/>
      <c r="I81" s="21"/>
      <c r="J81" s="21"/>
      <c r="K81" s="21"/>
    </row>
    <row r="82" spans="1:11">
      <c r="A82" s="21"/>
      <c r="B82" s="21"/>
      <c r="C82" s="21"/>
      <c r="D82" s="21"/>
      <c r="E82" s="21"/>
      <c r="F82" s="21"/>
      <c r="G82" s="21"/>
      <c r="H82" s="21"/>
      <c r="I82" s="21"/>
      <c r="J82" s="21"/>
      <c r="K82" s="21"/>
    </row>
    <row r="83" spans="1:11">
      <c r="A83" s="21"/>
      <c r="B83" s="21"/>
      <c r="C83" s="21"/>
      <c r="D83" s="21"/>
      <c r="E83" s="21"/>
      <c r="F83" s="21"/>
      <c r="G83" s="21"/>
      <c r="H83" s="21"/>
      <c r="I83" s="21"/>
      <c r="J83" s="21"/>
      <c r="K83" s="21"/>
    </row>
    <row r="84" spans="1:11">
      <c r="A84" s="21"/>
      <c r="B84" s="21"/>
      <c r="C84" s="21"/>
      <c r="D84" s="21"/>
      <c r="E84" s="21"/>
      <c r="F84" s="21"/>
      <c r="G84" s="21"/>
      <c r="H84" s="21"/>
      <c r="I84" s="21"/>
      <c r="J84" s="21"/>
      <c r="K84" s="21"/>
    </row>
    <row r="85" spans="1:11">
      <c r="A85" s="21"/>
      <c r="B85" s="21"/>
      <c r="C85" s="21"/>
      <c r="D85" s="21"/>
      <c r="E85" s="21"/>
      <c r="F85" s="21"/>
      <c r="G85" s="21"/>
      <c r="H85" s="21"/>
      <c r="I85" s="21"/>
      <c r="J85" s="21"/>
      <c r="K85" s="21"/>
    </row>
    <row r="86" spans="1:11">
      <c r="A86" s="21"/>
      <c r="B86" s="21"/>
      <c r="C86" s="21"/>
      <c r="D86" s="21"/>
      <c r="E86" s="21"/>
      <c r="F86" s="21"/>
      <c r="G86" s="21"/>
      <c r="H86" s="21"/>
      <c r="I86" s="21"/>
      <c r="J86" s="21"/>
      <c r="K86" s="21"/>
    </row>
    <row r="87" spans="1:11">
      <c r="A87" s="21"/>
      <c r="B87" s="21"/>
      <c r="C87" s="21"/>
      <c r="D87" s="21"/>
      <c r="E87" s="21"/>
      <c r="F87" s="21"/>
      <c r="G87" s="21"/>
      <c r="H87" s="21"/>
      <c r="I87" s="21"/>
      <c r="J87" s="21"/>
      <c r="K87" s="21"/>
    </row>
    <row r="88" spans="1:11">
      <c r="A88" s="21"/>
      <c r="B88" s="21"/>
      <c r="C88" s="21"/>
      <c r="D88" s="21"/>
      <c r="E88" s="21"/>
      <c r="F88" s="21"/>
      <c r="G88" s="21"/>
      <c r="H88" s="21"/>
      <c r="I88" s="21"/>
      <c r="J88" s="21"/>
      <c r="K88" s="21"/>
    </row>
    <row r="89" spans="1:11">
      <c r="A89" s="21"/>
      <c r="B89" s="21"/>
      <c r="C89" s="21"/>
      <c r="D89" s="21"/>
      <c r="E89" s="21"/>
      <c r="F89" s="21"/>
      <c r="G89" s="21"/>
      <c r="H89" s="21"/>
      <c r="I89" s="21"/>
      <c r="J89" s="21"/>
      <c r="K89" s="21"/>
    </row>
    <row r="90" spans="1:11">
      <c r="A90" s="21"/>
      <c r="B90" s="21"/>
      <c r="C90" s="21"/>
      <c r="D90" s="21"/>
      <c r="E90" s="21"/>
      <c r="F90" s="21"/>
      <c r="G90" s="21"/>
      <c r="H90" s="21"/>
      <c r="I90" s="21"/>
      <c r="J90" s="21"/>
      <c r="K90" s="21"/>
    </row>
    <row r="91" spans="1:11">
      <c r="A91" s="21"/>
      <c r="B91" s="21"/>
      <c r="C91" s="21"/>
      <c r="D91" s="21"/>
      <c r="E91" s="21"/>
      <c r="F91" s="21"/>
      <c r="G91" s="21"/>
      <c r="H91" s="21"/>
      <c r="I91" s="21"/>
      <c r="J91" s="21"/>
      <c r="K91" s="21"/>
    </row>
    <row r="92" spans="1:11">
      <c r="A92" s="21"/>
      <c r="B92" s="21"/>
      <c r="C92" s="21"/>
      <c r="D92" s="21"/>
      <c r="E92" s="21"/>
      <c r="F92" s="21"/>
      <c r="G92" s="21"/>
      <c r="H92" s="21"/>
      <c r="I92" s="21"/>
      <c r="J92" s="21"/>
      <c r="K92" s="21"/>
    </row>
    <row r="93" spans="1:11">
      <c r="A93" s="21"/>
      <c r="B93" s="21"/>
      <c r="C93" s="21"/>
      <c r="D93" s="21"/>
      <c r="E93" s="21"/>
      <c r="F93" s="21"/>
      <c r="G93" s="21"/>
      <c r="H93" s="21"/>
      <c r="I93" s="21"/>
      <c r="J93" s="21"/>
      <c r="K93" s="21"/>
    </row>
    <row r="94" spans="1:11">
      <c r="A94" s="21"/>
      <c r="B94" s="21"/>
      <c r="C94" s="21"/>
      <c r="D94" s="21"/>
      <c r="E94" s="21"/>
      <c r="F94" s="21"/>
      <c r="G94" s="21"/>
      <c r="H94" s="21"/>
      <c r="I94" s="21"/>
      <c r="J94" s="21"/>
      <c r="K94" s="21"/>
    </row>
  </sheetData>
  <sheetProtection formatColumns="0" formatRows="0" insertColumns="0" insertRows="0"/>
  <mergeCells count="1">
    <mergeCell ref="A29:K29"/>
  </mergeCells>
  <printOptions horizontalCentered="1"/>
  <pageMargins left="0.25" right="0.25" top="0.75" bottom="0.75" header="0.3" footer="0.3"/>
  <pageSetup orientation="portrait" r:id="rId1"/>
  <headerFooter scaleWithDoc="0">
    <oddHeader>&amp;C&amp;"-,Bold"&amp;20RERC Cap Rate Data - Inland Empire (Tier 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323585" r:id="rId4" name="Button 1">
              <controlPr defaultSize="0" print="0" autoFill="0" autoPict="0" macro="[0]!PasteImageWithBorder_ExtraPage">
                <anchor moveWithCells="1" sizeWithCells="1">
                  <from>
                    <xdr:col>12</xdr:col>
                    <xdr:colOff>312420</xdr:colOff>
                    <xdr:row>3</xdr:row>
                    <xdr:rowOff>0</xdr:rowOff>
                  </from>
                  <to>
                    <xdr:col>15</xdr:col>
                    <xdr:colOff>304800</xdr:colOff>
                    <xdr:row>6</xdr:row>
                    <xdr:rowOff>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FEF4B-F95D-4A3C-8026-5A5C74E99B34}">
  <sheetPr codeName="Sheet61">
    <tabColor theme="9" tint="-0.249977111117893"/>
  </sheetPr>
  <dimension ref="A1:K94"/>
  <sheetViews>
    <sheetView view="pageLayout" zoomScale="115" zoomScaleNormal="115" zoomScaleSheetLayoutView="130" zoomScalePageLayoutView="115" workbookViewId="0">
      <selection activeCell="A2" sqref="A2"/>
    </sheetView>
  </sheetViews>
  <sheetFormatPr defaultRowHeight="14.4"/>
  <cols>
    <col min="1" max="1" width="9.6640625" customWidth="1"/>
    <col min="11" max="11" width="9.6640625" customWidth="1"/>
  </cols>
  <sheetData>
    <row r="1" spans="1:11">
      <c r="A1" s="21"/>
      <c r="B1" s="21"/>
      <c r="C1" s="21"/>
      <c r="D1" s="21"/>
      <c r="E1" s="21"/>
      <c r="F1" s="21"/>
      <c r="G1" s="21"/>
      <c r="H1" s="21"/>
      <c r="I1" s="21"/>
      <c r="J1" s="21"/>
      <c r="K1" s="21"/>
    </row>
    <row r="2" spans="1:11">
      <c r="A2" s="21"/>
      <c r="B2" s="21"/>
      <c r="C2" s="21"/>
      <c r="D2" s="21"/>
      <c r="E2" s="21"/>
      <c r="F2" s="21"/>
      <c r="G2" s="21"/>
      <c r="H2" s="21"/>
      <c r="I2" s="21"/>
      <c r="J2" s="21"/>
      <c r="K2" s="21"/>
    </row>
    <row r="3" spans="1:11">
      <c r="A3" s="21"/>
      <c r="B3" s="21"/>
      <c r="C3" s="21"/>
      <c r="D3" s="21"/>
      <c r="E3" s="21"/>
      <c r="F3" s="21"/>
      <c r="G3" s="21"/>
      <c r="H3" s="21"/>
      <c r="I3" s="21"/>
      <c r="J3" s="21"/>
      <c r="K3" s="21"/>
    </row>
    <row r="4" spans="1:11">
      <c r="A4" s="21"/>
      <c r="B4" s="21"/>
      <c r="C4" s="21"/>
      <c r="D4" s="21"/>
      <c r="E4" s="21"/>
      <c r="F4" s="21"/>
      <c r="G4" s="21"/>
      <c r="H4" s="21"/>
      <c r="I4" s="21"/>
      <c r="J4" s="21"/>
      <c r="K4" s="21"/>
    </row>
    <row r="5" spans="1:11">
      <c r="A5" s="21"/>
      <c r="B5" s="21"/>
      <c r="C5" s="21"/>
      <c r="D5" s="21"/>
      <c r="E5" s="21"/>
      <c r="F5" s="21"/>
      <c r="G5" s="21"/>
      <c r="H5" s="21"/>
      <c r="I5" s="21"/>
      <c r="J5" s="21"/>
      <c r="K5" s="21"/>
    </row>
    <row r="6" spans="1:11">
      <c r="A6" s="21"/>
      <c r="B6" s="21"/>
      <c r="C6" s="21"/>
      <c r="D6" s="21"/>
      <c r="E6" s="21"/>
      <c r="F6" s="21"/>
      <c r="G6" s="21"/>
      <c r="H6" s="21"/>
      <c r="I6" s="21"/>
      <c r="J6" s="21"/>
      <c r="K6" s="21"/>
    </row>
    <row r="7" spans="1:11">
      <c r="A7" s="21"/>
      <c r="B7" s="21"/>
      <c r="C7" s="21"/>
      <c r="D7" s="21"/>
      <c r="E7" s="21"/>
      <c r="F7" s="21"/>
      <c r="G7" s="21"/>
      <c r="H7" s="21"/>
      <c r="I7" s="21"/>
      <c r="J7" s="21"/>
      <c r="K7" s="21"/>
    </row>
    <row r="8" spans="1:11">
      <c r="A8" s="21"/>
      <c r="B8" s="21"/>
      <c r="C8" s="21"/>
      <c r="D8" s="21"/>
      <c r="E8" s="21"/>
      <c r="F8" s="21"/>
      <c r="G8" s="21"/>
      <c r="H8" s="21"/>
      <c r="I8" s="21"/>
      <c r="J8" s="21"/>
      <c r="K8" s="21"/>
    </row>
    <row r="9" spans="1:11">
      <c r="A9" s="21"/>
      <c r="B9" s="21"/>
      <c r="C9" s="21"/>
      <c r="D9" s="21"/>
      <c r="E9" s="21"/>
      <c r="F9" s="21"/>
      <c r="G9" s="21"/>
      <c r="H9" s="21"/>
      <c r="I9" s="21"/>
      <c r="J9" s="21"/>
      <c r="K9" s="21"/>
    </row>
    <row r="10" spans="1:11">
      <c r="A10" s="21"/>
      <c r="B10" s="21"/>
      <c r="C10" s="21"/>
      <c r="D10" s="21"/>
      <c r="E10" s="21"/>
      <c r="F10" s="21"/>
      <c r="G10" s="21"/>
      <c r="H10" s="21"/>
      <c r="I10" s="21"/>
      <c r="J10" s="21"/>
      <c r="K10" s="21"/>
    </row>
    <row r="11" spans="1:11">
      <c r="A11" s="21"/>
      <c r="B11" s="21"/>
      <c r="C11" s="21"/>
      <c r="D11" s="21"/>
      <c r="E11" s="21"/>
      <c r="F11" s="21"/>
      <c r="G11" s="21"/>
      <c r="H11" s="21"/>
      <c r="I11" s="21"/>
      <c r="J11" s="21"/>
      <c r="K11" s="21"/>
    </row>
    <row r="12" spans="1:11">
      <c r="A12" s="21"/>
      <c r="B12" s="21"/>
      <c r="C12" s="21"/>
      <c r="D12" s="21"/>
      <c r="E12" s="21"/>
      <c r="F12" s="21"/>
      <c r="G12" s="21"/>
      <c r="H12" s="21"/>
      <c r="I12" s="21"/>
      <c r="J12" s="21"/>
      <c r="K12" s="21"/>
    </row>
    <row r="13" spans="1:11">
      <c r="A13" s="21"/>
      <c r="B13" s="21"/>
      <c r="C13" s="21"/>
      <c r="D13" s="21"/>
      <c r="E13" s="21"/>
      <c r="F13" s="21"/>
      <c r="G13" s="21"/>
      <c r="H13" s="21"/>
      <c r="I13" s="21"/>
      <c r="J13" s="21"/>
      <c r="K13" s="21"/>
    </row>
    <row r="14" spans="1:11">
      <c r="A14" s="21"/>
      <c r="B14" s="21"/>
      <c r="C14" s="21"/>
      <c r="D14" s="21"/>
      <c r="E14" s="21"/>
      <c r="F14" s="21"/>
      <c r="G14" s="21"/>
      <c r="H14" s="21"/>
      <c r="I14" s="21"/>
      <c r="J14" s="21"/>
      <c r="K14" s="21"/>
    </row>
    <row r="15" spans="1:11">
      <c r="A15" s="21"/>
      <c r="B15" s="21"/>
      <c r="C15" s="21"/>
      <c r="D15" s="21"/>
      <c r="E15" s="21"/>
      <c r="F15" s="21"/>
      <c r="G15" s="21"/>
      <c r="H15" s="21"/>
      <c r="I15" s="21"/>
      <c r="J15" s="21"/>
      <c r="K15" s="21"/>
    </row>
    <row r="16" spans="1:11">
      <c r="A16" s="21"/>
      <c r="B16" s="21"/>
      <c r="C16" s="21"/>
      <c r="D16" s="21"/>
      <c r="E16" s="21"/>
      <c r="F16" s="21"/>
      <c r="G16" s="21"/>
      <c r="H16" s="21"/>
      <c r="I16" s="21"/>
      <c r="J16" s="21"/>
      <c r="K16" s="21"/>
    </row>
    <row r="17" spans="1:11">
      <c r="A17" s="21"/>
      <c r="B17" s="21"/>
      <c r="C17" s="21"/>
      <c r="D17" s="21"/>
      <c r="E17" s="21"/>
      <c r="F17" s="21"/>
      <c r="G17" s="21"/>
      <c r="H17" s="21"/>
      <c r="I17" s="21"/>
      <c r="J17" s="21"/>
      <c r="K17" s="21"/>
    </row>
    <row r="18" spans="1:11">
      <c r="A18" s="21"/>
      <c r="B18" s="21"/>
      <c r="C18" s="21"/>
      <c r="D18" s="21"/>
      <c r="E18" s="21"/>
      <c r="F18" s="21"/>
      <c r="G18" s="21"/>
      <c r="H18" s="21"/>
      <c r="I18" s="21"/>
      <c r="J18" s="21"/>
      <c r="K18" s="21"/>
    </row>
    <row r="19" spans="1:11">
      <c r="A19" s="21"/>
      <c r="B19" s="21"/>
      <c r="C19" s="21"/>
      <c r="D19" s="21"/>
      <c r="E19" s="21"/>
      <c r="F19" s="21"/>
      <c r="G19" s="21"/>
      <c r="H19" s="21"/>
      <c r="I19" s="21"/>
      <c r="J19" s="21"/>
      <c r="K19" s="21"/>
    </row>
    <row r="20" spans="1:11">
      <c r="A20" s="21"/>
      <c r="B20" s="21"/>
      <c r="C20" s="21"/>
      <c r="D20" s="21"/>
      <c r="E20" s="21"/>
      <c r="F20" s="21"/>
      <c r="G20" s="21"/>
      <c r="H20" s="21"/>
      <c r="I20" s="21"/>
      <c r="J20" s="21"/>
      <c r="K20" s="21"/>
    </row>
    <row r="21" spans="1:11">
      <c r="A21" s="21"/>
      <c r="B21" s="21"/>
      <c r="C21" s="21"/>
      <c r="D21" s="21"/>
      <c r="E21" s="21"/>
      <c r="F21" s="21"/>
      <c r="G21" s="21"/>
      <c r="H21" s="21"/>
      <c r="I21" s="21"/>
      <c r="J21" s="21"/>
      <c r="K21" s="21"/>
    </row>
    <row r="22" spans="1:11">
      <c r="A22" s="21"/>
      <c r="B22" s="21"/>
      <c r="C22" s="21"/>
      <c r="D22" s="21"/>
      <c r="E22" s="21"/>
      <c r="F22" s="21"/>
      <c r="G22" s="21"/>
      <c r="H22" s="21"/>
      <c r="I22" s="21"/>
      <c r="J22" s="21"/>
      <c r="K22" s="21"/>
    </row>
    <row r="23" spans="1:11">
      <c r="A23" s="21"/>
      <c r="B23" s="21"/>
      <c r="C23" s="21"/>
      <c r="D23" s="21"/>
      <c r="E23" s="21"/>
      <c r="F23" s="21"/>
      <c r="G23" s="21"/>
      <c r="H23" s="21"/>
      <c r="I23" s="21"/>
      <c r="J23" s="21"/>
      <c r="K23" s="21"/>
    </row>
    <row r="24" spans="1:11">
      <c r="A24" s="21"/>
      <c r="B24" s="21"/>
      <c r="C24" s="21"/>
      <c r="D24" s="21"/>
      <c r="E24" s="21"/>
      <c r="F24" s="21"/>
      <c r="G24" s="21"/>
      <c r="H24" s="21"/>
      <c r="I24" s="21"/>
      <c r="J24" s="21"/>
      <c r="K24" s="21"/>
    </row>
    <row r="25" spans="1:11">
      <c r="A25" s="21"/>
      <c r="B25" s="21"/>
      <c r="C25" s="21"/>
      <c r="D25" s="21"/>
      <c r="E25" s="21"/>
      <c r="F25" s="21"/>
      <c r="G25" s="21"/>
      <c r="H25" s="21"/>
      <c r="I25" s="21"/>
      <c r="J25" s="21"/>
      <c r="K25" s="21"/>
    </row>
    <row r="26" spans="1:11">
      <c r="A26" s="21"/>
      <c r="B26" s="21"/>
      <c r="C26" s="21"/>
      <c r="D26" s="21"/>
      <c r="E26" s="21"/>
      <c r="F26" s="21"/>
      <c r="G26" s="21"/>
      <c r="H26" s="21"/>
      <c r="I26" s="21"/>
      <c r="J26" s="21"/>
      <c r="K26" s="21"/>
    </row>
    <row r="27" spans="1:11">
      <c r="A27" s="21"/>
      <c r="B27" s="21"/>
      <c r="C27" s="21"/>
      <c r="D27" s="21"/>
      <c r="E27" s="21"/>
      <c r="F27" s="21"/>
      <c r="G27" s="21"/>
      <c r="H27" s="21"/>
      <c r="I27" s="21"/>
      <c r="J27" s="21"/>
      <c r="K27" s="21"/>
    </row>
    <row r="28" spans="1:11">
      <c r="A28" s="21"/>
      <c r="B28" s="21"/>
      <c r="C28" s="21"/>
      <c r="D28" s="21"/>
      <c r="E28" s="21"/>
      <c r="F28" s="21"/>
      <c r="G28" s="21"/>
      <c r="H28" s="21"/>
      <c r="I28" s="21"/>
      <c r="J28" s="21"/>
      <c r="K28" s="21"/>
    </row>
    <row r="29" spans="1:11">
      <c r="A29" s="21"/>
      <c r="B29" s="21"/>
      <c r="C29" s="21"/>
      <c r="D29" s="21"/>
      <c r="E29" s="21"/>
      <c r="F29" s="21"/>
      <c r="G29" s="21"/>
      <c r="H29" s="21"/>
      <c r="I29" s="21"/>
      <c r="J29" s="21"/>
      <c r="K29" s="21"/>
    </row>
    <row r="30" spans="1:11">
      <c r="A30" s="21"/>
      <c r="B30" s="21"/>
      <c r="C30" s="21"/>
      <c r="D30" s="21"/>
      <c r="E30" s="21"/>
      <c r="F30" s="21"/>
      <c r="G30" s="21"/>
      <c r="H30" s="21"/>
      <c r="I30" s="21"/>
      <c r="J30" s="21"/>
      <c r="K30" s="21"/>
    </row>
    <row r="31" spans="1:11">
      <c r="A31" s="21"/>
      <c r="B31" s="21"/>
      <c r="C31" s="21"/>
      <c r="D31" s="21"/>
      <c r="E31" s="21"/>
      <c r="F31" s="21"/>
      <c r="G31" s="21"/>
      <c r="H31" s="21"/>
      <c r="I31" s="21"/>
      <c r="J31" s="21"/>
      <c r="K31" s="21"/>
    </row>
    <row r="32" spans="1:11">
      <c r="A32" s="21"/>
      <c r="B32" s="21"/>
      <c r="C32" s="21"/>
      <c r="D32" s="21"/>
      <c r="E32" s="21"/>
      <c r="F32" s="21"/>
      <c r="G32" s="21"/>
      <c r="H32" s="21"/>
      <c r="I32" s="21"/>
      <c r="J32" s="21"/>
      <c r="K32" s="21"/>
    </row>
    <row r="33" spans="1:11">
      <c r="A33" s="21"/>
      <c r="B33" s="21"/>
      <c r="C33" s="21"/>
      <c r="D33" s="21"/>
      <c r="E33" s="21"/>
      <c r="F33" s="21"/>
      <c r="G33" s="21"/>
      <c r="H33" s="21"/>
      <c r="I33" s="21"/>
      <c r="J33" s="21"/>
      <c r="K33" s="21"/>
    </row>
    <row r="34" spans="1:11">
      <c r="A34" s="21"/>
      <c r="B34" s="21"/>
      <c r="C34" s="21"/>
      <c r="D34" s="21"/>
      <c r="E34" s="21"/>
      <c r="F34" s="21"/>
      <c r="G34" s="21"/>
      <c r="H34" s="21"/>
      <c r="I34" s="21"/>
      <c r="J34" s="21"/>
      <c r="K34" s="21"/>
    </row>
    <row r="35" spans="1:11">
      <c r="A35" s="21"/>
      <c r="B35" s="21"/>
      <c r="C35" s="21"/>
      <c r="D35" s="21"/>
      <c r="E35" s="21"/>
      <c r="F35" s="21"/>
      <c r="G35" s="21"/>
      <c r="H35" s="21"/>
      <c r="I35" s="21"/>
      <c r="J35" s="21"/>
      <c r="K35" s="21"/>
    </row>
    <row r="36" spans="1:11">
      <c r="A36" s="21"/>
      <c r="B36" s="21"/>
      <c r="C36" s="21"/>
      <c r="D36" s="21"/>
      <c r="E36" s="21"/>
      <c r="F36" s="21"/>
      <c r="G36" s="21"/>
      <c r="H36" s="21"/>
      <c r="I36" s="21"/>
      <c r="J36" s="21"/>
      <c r="K36" s="21"/>
    </row>
    <row r="37" spans="1:11">
      <c r="A37" s="21"/>
      <c r="B37" s="21"/>
      <c r="C37" s="21"/>
      <c r="D37" s="21"/>
      <c r="E37" s="21"/>
      <c r="F37" s="21"/>
      <c r="G37" s="21"/>
      <c r="H37" s="21"/>
      <c r="I37" s="21"/>
      <c r="J37" s="21"/>
      <c r="K37" s="21"/>
    </row>
    <row r="38" spans="1:11">
      <c r="A38" s="21"/>
      <c r="B38" s="21"/>
      <c r="C38" s="21"/>
      <c r="D38" s="21"/>
      <c r="E38" s="21"/>
      <c r="F38" s="21"/>
      <c r="G38" s="21"/>
      <c r="H38" s="21"/>
      <c r="I38" s="21"/>
      <c r="J38" s="21"/>
      <c r="K38" s="21"/>
    </row>
    <row r="39" spans="1:11">
      <c r="A39" s="21"/>
      <c r="B39" s="21"/>
      <c r="C39" s="21"/>
      <c r="D39" s="21"/>
      <c r="E39" s="21"/>
      <c r="F39" s="21"/>
      <c r="G39" s="21"/>
      <c r="H39" s="21"/>
      <c r="I39" s="21"/>
      <c r="J39" s="21"/>
      <c r="K39" s="21"/>
    </row>
    <row r="40" spans="1:11">
      <c r="A40" s="21"/>
      <c r="B40" s="21"/>
      <c r="C40" s="21"/>
      <c r="D40" s="21"/>
      <c r="E40" s="21"/>
      <c r="F40" s="21"/>
      <c r="G40" s="21"/>
      <c r="H40" s="21"/>
      <c r="I40" s="21"/>
      <c r="J40" s="21"/>
      <c r="K40" s="21"/>
    </row>
    <row r="41" spans="1:11">
      <c r="A41" s="21"/>
      <c r="B41" s="21"/>
      <c r="C41" s="21"/>
      <c r="D41" s="21"/>
      <c r="E41" s="21"/>
      <c r="F41" s="21"/>
      <c r="G41" s="21"/>
      <c r="H41" s="21"/>
      <c r="I41" s="21"/>
      <c r="J41" s="21"/>
      <c r="K41" s="21"/>
    </row>
    <row r="42" spans="1:11">
      <c r="A42" s="21"/>
      <c r="B42" s="21"/>
      <c r="C42" s="21"/>
      <c r="D42" s="21"/>
      <c r="E42" s="21"/>
      <c r="F42" s="21"/>
      <c r="G42" s="21"/>
      <c r="H42" s="21"/>
      <c r="I42" s="21"/>
      <c r="J42" s="21"/>
      <c r="K42" s="21"/>
    </row>
    <row r="43" spans="1:11">
      <c r="A43" s="21"/>
      <c r="B43" s="21"/>
      <c r="C43" s="21"/>
      <c r="D43" s="21"/>
      <c r="E43" s="21"/>
      <c r="F43" s="21"/>
      <c r="G43" s="21"/>
      <c r="H43" s="21"/>
      <c r="I43" s="21"/>
      <c r="J43" s="21"/>
      <c r="K43" s="21"/>
    </row>
    <row r="44" spans="1:11">
      <c r="A44" s="21"/>
      <c r="B44" s="21"/>
      <c r="C44" s="21"/>
      <c r="D44" s="21"/>
      <c r="E44" s="21"/>
      <c r="F44" s="21"/>
      <c r="G44" s="21"/>
      <c r="H44" s="21"/>
      <c r="I44" s="21"/>
      <c r="J44" s="21"/>
      <c r="K44" s="21"/>
    </row>
    <row r="45" spans="1:11">
      <c r="A45" s="21"/>
      <c r="B45" s="21"/>
      <c r="C45" s="21"/>
      <c r="D45" s="21"/>
      <c r="E45" s="21"/>
      <c r="F45" s="21"/>
      <c r="G45" s="21"/>
      <c r="H45" s="21"/>
      <c r="I45" s="21"/>
      <c r="J45" s="21"/>
      <c r="K45" s="21"/>
    </row>
    <row r="46" spans="1:11">
      <c r="A46" s="21"/>
      <c r="B46" s="21"/>
      <c r="C46" s="21"/>
      <c r="D46" s="21"/>
      <c r="E46" s="21"/>
      <c r="F46" s="21"/>
      <c r="G46" s="21"/>
      <c r="H46" s="21"/>
      <c r="I46" s="21"/>
      <c r="J46" s="21"/>
      <c r="K46" s="21"/>
    </row>
    <row r="47" spans="1:11">
      <c r="A47" s="21"/>
      <c r="B47" s="21"/>
      <c r="C47" s="21"/>
      <c r="D47" s="21"/>
      <c r="E47" s="21"/>
      <c r="F47" s="21"/>
      <c r="G47" s="21"/>
      <c r="H47" s="21"/>
      <c r="I47" s="21"/>
      <c r="J47" s="21"/>
      <c r="K47" s="21"/>
    </row>
    <row r="48" spans="1:11">
      <c r="A48" s="21"/>
      <c r="B48" s="21"/>
      <c r="C48" s="21"/>
      <c r="D48" s="21"/>
      <c r="E48" s="21"/>
      <c r="F48" s="21"/>
      <c r="G48" s="21"/>
      <c r="H48" s="21"/>
      <c r="I48" s="21"/>
      <c r="J48" s="21"/>
      <c r="K48" s="21"/>
    </row>
    <row r="49" spans="1:11">
      <c r="A49" s="21"/>
      <c r="B49" s="21"/>
      <c r="C49" s="21"/>
      <c r="D49" s="21"/>
      <c r="E49" s="21"/>
      <c r="F49" s="21"/>
      <c r="G49" s="21"/>
      <c r="H49" s="21"/>
      <c r="I49" s="21"/>
      <c r="J49" s="21"/>
      <c r="K49" s="21"/>
    </row>
    <row r="50" spans="1:11">
      <c r="A50" s="21"/>
      <c r="B50" s="21"/>
      <c r="C50" s="21"/>
      <c r="D50" s="21"/>
      <c r="E50" s="21"/>
      <c r="F50" s="21"/>
      <c r="G50" s="21"/>
      <c r="H50" s="21"/>
      <c r="I50" s="21"/>
      <c r="J50" s="21"/>
      <c r="K50" s="21"/>
    </row>
    <row r="51" spans="1:11">
      <c r="A51" s="21"/>
      <c r="B51" s="21"/>
      <c r="C51" s="21"/>
      <c r="D51" s="21"/>
      <c r="E51" s="21"/>
      <c r="F51" s="21"/>
      <c r="G51" s="21"/>
      <c r="H51" s="21"/>
      <c r="I51" s="21"/>
      <c r="J51" s="21"/>
      <c r="K51" s="21"/>
    </row>
    <row r="52" spans="1:11">
      <c r="A52" s="21"/>
      <c r="B52" s="21"/>
      <c r="C52" s="21"/>
      <c r="D52" s="21"/>
      <c r="E52" s="21"/>
      <c r="F52" s="21"/>
      <c r="G52" s="21"/>
      <c r="H52" s="21"/>
      <c r="I52" s="21"/>
      <c r="J52" s="21"/>
      <c r="K52" s="21"/>
    </row>
    <row r="53" spans="1:11">
      <c r="A53" s="21"/>
      <c r="B53" s="21"/>
      <c r="C53" s="21"/>
      <c r="D53" s="21"/>
      <c r="E53" s="21"/>
      <c r="F53" s="21"/>
      <c r="G53" s="21"/>
      <c r="H53" s="21"/>
      <c r="I53" s="21"/>
      <c r="J53" s="21"/>
      <c r="K53" s="21"/>
    </row>
    <row r="54" spans="1:11">
      <c r="A54" s="21"/>
      <c r="B54" s="21"/>
      <c r="C54" s="21"/>
      <c r="D54" s="21"/>
      <c r="E54" s="21"/>
      <c r="F54" s="21"/>
      <c r="G54" s="21"/>
      <c r="H54" s="21"/>
      <c r="I54" s="21"/>
      <c r="J54" s="21"/>
      <c r="K54" s="21"/>
    </row>
    <row r="55" spans="1:11">
      <c r="A55" s="21"/>
      <c r="B55" s="21"/>
      <c r="C55" s="21"/>
      <c r="D55" s="21"/>
      <c r="E55" s="21"/>
      <c r="F55" s="21"/>
      <c r="G55" s="21"/>
      <c r="H55" s="21"/>
      <c r="I55" s="21"/>
      <c r="J55" s="21"/>
      <c r="K55" s="21"/>
    </row>
    <row r="56" spans="1:11">
      <c r="A56" s="21"/>
      <c r="B56" s="21"/>
      <c r="C56" s="21"/>
      <c r="D56" s="21"/>
      <c r="E56" s="21"/>
      <c r="F56" s="21"/>
      <c r="G56" s="21"/>
      <c r="H56" s="21"/>
      <c r="I56" s="21"/>
      <c r="J56" s="21"/>
      <c r="K56" s="21"/>
    </row>
    <row r="57" spans="1:11">
      <c r="A57" s="21"/>
      <c r="B57" s="21"/>
      <c r="C57" s="21"/>
      <c r="D57" s="21"/>
      <c r="E57" s="21"/>
      <c r="F57" s="21"/>
      <c r="G57" s="21"/>
      <c r="H57" s="21"/>
      <c r="I57" s="21"/>
      <c r="J57" s="21"/>
      <c r="K57" s="21"/>
    </row>
    <row r="58" spans="1:11">
      <c r="A58" s="21"/>
      <c r="B58" s="21"/>
      <c r="C58" s="21"/>
      <c r="D58" s="21"/>
      <c r="E58" s="21"/>
      <c r="F58" s="21"/>
      <c r="G58" s="21"/>
      <c r="H58" s="21"/>
      <c r="I58" s="21"/>
      <c r="J58" s="21"/>
      <c r="K58" s="21"/>
    </row>
    <row r="59" spans="1:11">
      <c r="A59" s="21"/>
      <c r="B59" s="21"/>
      <c r="C59" s="21"/>
      <c r="D59" s="21"/>
      <c r="E59" s="21"/>
      <c r="F59" s="21"/>
      <c r="G59" s="21"/>
      <c r="H59" s="21"/>
      <c r="I59" s="21"/>
      <c r="J59" s="21"/>
      <c r="K59" s="21"/>
    </row>
    <row r="60" spans="1:11">
      <c r="A60" s="21"/>
      <c r="B60" s="21"/>
      <c r="C60" s="21"/>
      <c r="D60" s="21"/>
      <c r="E60" s="21"/>
      <c r="F60" s="21"/>
      <c r="G60" s="21"/>
      <c r="H60" s="21"/>
      <c r="I60" s="21"/>
      <c r="J60" s="21"/>
      <c r="K60" s="21"/>
    </row>
    <row r="61" spans="1:11">
      <c r="A61" s="21"/>
      <c r="B61" s="21"/>
      <c r="C61" s="21"/>
      <c r="D61" s="21"/>
      <c r="E61" s="21"/>
      <c r="F61" s="21"/>
      <c r="G61" s="21"/>
      <c r="H61" s="21"/>
      <c r="I61" s="21"/>
      <c r="J61" s="21"/>
      <c r="K61" s="21"/>
    </row>
    <row r="62" spans="1:11">
      <c r="A62" s="21"/>
      <c r="B62" s="21"/>
      <c r="C62" s="21"/>
      <c r="D62" s="21"/>
      <c r="E62" s="21"/>
      <c r="F62" s="21"/>
      <c r="G62" s="21"/>
      <c r="H62" s="21"/>
      <c r="I62" s="21"/>
      <c r="J62" s="21"/>
      <c r="K62" s="21"/>
    </row>
    <row r="63" spans="1:11">
      <c r="A63" s="21"/>
      <c r="B63" s="21"/>
      <c r="C63" s="21"/>
      <c r="D63" s="21"/>
      <c r="E63" s="21"/>
      <c r="F63" s="21"/>
      <c r="G63" s="21"/>
      <c r="H63" s="21"/>
      <c r="I63" s="21"/>
      <c r="J63" s="21"/>
      <c r="K63" s="21"/>
    </row>
    <row r="64" spans="1:11">
      <c r="A64" s="21"/>
      <c r="B64" s="21"/>
      <c r="C64" s="21"/>
      <c r="D64" s="21"/>
      <c r="E64" s="21"/>
      <c r="F64" s="21"/>
      <c r="G64" s="21"/>
      <c r="H64" s="21"/>
      <c r="I64" s="21"/>
      <c r="J64" s="21"/>
      <c r="K64" s="21"/>
    </row>
    <row r="65" spans="1:11">
      <c r="A65" s="21"/>
      <c r="B65" s="21"/>
      <c r="C65" s="21"/>
      <c r="D65" s="21"/>
      <c r="E65" s="21"/>
      <c r="F65" s="21"/>
      <c r="G65" s="21"/>
      <c r="H65" s="21"/>
      <c r="I65" s="21"/>
      <c r="J65" s="21"/>
      <c r="K65" s="21"/>
    </row>
    <row r="66" spans="1:11">
      <c r="A66" s="21"/>
      <c r="B66" s="21"/>
      <c r="C66" s="21"/>
      <c r="D66" s="21"/>
      <c r="E66" s="21"/>
      <c r="F66" s="21"/>
      <c r="G66" s="21"/>
      <c r="H66" s="21"/>
      <c r="I66" s="21"/>
      <c r="J66" s="21"/>
      <c r="K66" s="21"/>
    </row>
    <row r="67" spans="1:11">
      <c r="A67" s="21"/>
      <c r="B67" s="21"/>
      <c r="C67" s="21"/>
      <c r="D67" s="21"/>
      <c r="E67" s="21"/>
      <c r="F67" s="21"/>
      <c r="G67" s="21"/>
      <c r="H67" s="21"/>
      <c r="I67" s="21"/>
      <c r="J67" s="21"/>
      <c r="K67" s="21"/>
    </row>
    <row r="68" spans="1:11">
      <c r="A68" s="21"/>
      <c r="B68" s="21"/>
      <c r="C68" s="21"/>
      <c r="D68" s="21"/>
      <c r="E68" s="21"/>
      <c r="F68" s="21"/>
      <c r="G68" s="21"/>
      <c r="H68" s="21"/>
      <c r="I68" s="21"/>
      <c r="J68" s="21"/>
      <c r="K68" s="21"/>
    </row>
    <row r="69" spans="1:11">
      <c r="A69" s="21"/>
      <c r="B69" s="21"/>
      <c r="C69" s="21"/>
      <c r="D69" s="21"/>
      <c r="E69" s="21"/>
      <c r="F69" s="21"/>
      <c r="G69" s="21"/>
      <c r="H69" s="21"/>
      <c r="I69" s="21"/>
      <c r="J69" s="21"/>
      <c r="K69" s="21"/>
    </row>
    <row r="70" spans="1:11">
      <c r="A70" s="21"/>
      <c r="B70" s="21"/>
      <c r="C70" s="21"/>
      <c r="D70" s="21"/>
      <c r="E70" s="21"/>
      <c r="F70" s="21"/>
      <c r="G70" s="21"/>
      <c r="H70" s="21"/>
      <c r="I70" s="21"/>
      <c r="J70" s="21"/>
      <c r="K70" s="21"/>
    </row>
    <row r="71" spans="1:11">
      <c r="A71" s="21"/>
      <c r="B71" s="21"/>
      <c r="C71" s="21"/>
      <c r="D71" s="21"/>
      <c r="E71" s="21"/>
      <c r="F71" s="21"/>
      <c r="G71" s="21"/>
      <c r="H71" s="21"/>
      <c r="I71" s="21"/>
      <c r="J71" s="21"/>
      <c r="K71" s="21"/>
    </row>
    <row r="72" spans="1:11">
      <c r="A72" s="21"/>
      <c r="B72" s="21"/>
      <c r="C72" s="21"/>
      <c r="D72" s="21"/>
      <c r="E72" s="21"/>
      <c r="F72" s="21"/>
      <c r="G72" s="21"/>
      <c r="H72" s="21"/>
      <c r="I72" s="21"/>
      <c r="J72" s="21"/>
      <c r="K72" s="21"/>
    </row>
    <row r="73" spans="1:11">
      <c r="A73" s="21"/>
      <c r="B73" s="21"/>
      <c r="C73" s="21"/>
      <c r="D73" s="21"/>
      <c r="E73" s="21"/>
      <c r="F73" s="21"/>
      <c r="G73" s="21"/>
      <c r="H73" s="21"/>
      <c r="I73" s="21"/>
      <c r="J73" s="21"/>
      <c r="K73" s="21"/>
    </row>
    <row r="74" spans="1:11">
      <c r="A74" s="21"/>
      <c r="B74" s="21"/>
      <c r="C74" s="21"/>
      <c r="D74" s="21"/>
      <c r="E74" s="21"/>
      <c r="F74" s="21"/>
      <c r="G74" s="21"/>
      <c r="H74" s="21"/>
      <c r="I74" s="21"/>
      <c r="J74" s="21"/>
      <c r="K74" s="21"/>
    </row>
    <row r="75" spans="1:11">
      <c r="A75" s="21"/>
      <c r="B75" s="21"/>
      <c r="C75" s="21"/>
      <c r="D75" s="21"/>
      <c r="E75" s="21"/>
      <c r="F75" s="21"/>
      <c r="G75" s="21"/>
      <c r="H75" s="21"/>
      <c r="I75" s="21"/>
      <c r="J75" s="21"/>
      <c r="K75" s="21"/>
    </row>
    <row r="76" spans="1:11">
      <c r="A76" s="21"/>
      <c r="B76" s="21"/>
      <c r="C76" s="21"/>
      <c r="D76" s="21"/>
      <c r="E76" s="21"/>
      <c r="F76" s="21"/>
      <c r="G76" s="21"/>
      <c r="H76" s="21"/>
      <c r="I76" s="21"/>
      <c r="J76" s="21"/>
      <c r="K76" s="21"/>
    </row>
    <row r="77" spans="1:11">
      <c r="A77" s="21"/>
      <c r="B77" s="21"/>
      <c r="C77" s="21"/>
      <c r="D77" s="21"/>
      <c r="E77" s="21"/>
      <c r="F77" s="21"/>
      <c r="G77" s="21"/>
      <c r="H77" s="21"/>
      <c r="I77" s="21"/>
      <c r="J77" s="21"/>
      <c r="K77" s="21"/>
    </row>
    <row r="78" spans="1:11">
      <c r="A78" s="21"/>
      <c r="B78" s="21"/>
      <c r="C78" s="21"/>
      <c r="D78" s="21"/>
      <c r="E78" s="21"/>
      <c r="F78" s="21"/>
      <c r="G78" s="21"/>
      <c r="H78" s="21"/>
      <c r="I78" s="21"/>
      <c r="J78" s="21"/>
      <c r="K78" s="21"/>
    </row>
    <row r="79" spans="1:11">
      <c r="A79" s="21"/>
      <c r="B79" s="21"/>
      <c r="C79" s="21"/>
      <c r="D79" s="21"/>
      <c r="E79" s="21"/>
      <c r="F79" s="21"/>
      <c r="G79" s="21"/>
      <c r="H79" s="21"/>
      <c r="I79" s="21"/>
      <c r="J79" s="21"/>
      <c r="K79" s="21"/>
    </row>
    <row r="80" spans="1:11">
      <c r="A80" s="21"/>
      <c r="B80" s="21"/>
      <c r="C80" s="21"/>
      <c r="D80" s="21"/>
      <c r="E80" s="21"/>
      <c r="F80" s="21"/>
      <c r="G80" s="21"/>
      <c r="H80" s="21"/>
      <c r="I80" s="21"/>
      <c r="J80" s="21"/>
      <c r="K80" s="21"/>
    </row>
    <row r="81" spans="1:11">
      <c r="A81" s="21"/>
      <c r="B81" s="21"/>
      <c r="C81" s="21"/>
      <c r="D81" s="21"/>
      <c r="E81" s="21"/>
      <c r="F81" s="21"/>
      <c r="G81" s="21"/>
      <c r="H81" s="21"/>
      <c r="I81" s="21"/>
      <c r="J81" s="21"/>
      <c r="K81" s="21"/>
    </row>
    <row r="82" spans="1:11">
      <c r="A82" s="21"/>
      <c r="B82" s="21"/>
      <c r="C82" s="21"/>
      <c r="D82" s="21"/>
      <c r="E82" s="21"/>
      <c r="F82" s="21"/>
      <c r="G82" s="21"/>
      <c r="H82" s="21"/>
      <c r="I82" s="21"/>
      <c r="J82" s="21"/>
      <c r="K82" s="21"/>
    </row>
    <row r="83" spans="1:11">
      <c r="A83" s="21"/>
      <c r="B83" s="21"/>
      <c r="C83" s="21"/>
      <c r="D83" s="21"/>
      <c r="E83" s="21"/>
      <c r="F83" s="21"/>
      <c r="G83" s="21"/>
      <c r="H83" s="21"/>
      <c r="I83" s="21"/>
      <c r="J83" s="21"/>
      <c r="K83" s="21"/>
    </row>
    <row r="84" spans="1:11">
      <c r="A84" s="21"/>
      <c r="B84" s="21"/>
      <c r="C84" s="21"/>
      <c r="D84" s="21"/>
      <c r="E84" s="21"/>
      <c r="F84" s="21"/>
      <c r="G84" s="21"/>
      <c r="H84" s="21"/>
      <c r="I84" s="21"/>
      <c r="J84" s="21"/>
      <c r="K84" s="21"/>
    </row>
    <row r="85" spans="1:11">
      <c r="A85" s="21"/>
      <c r="B85" s="21"/>
      <c r="C85" s="21"/>
      <c r="D85" s="21"/>
      <c r="E85" s="21"/>
      <c r="F85" s="21"/>
      <c r="G85" s="21"/>
      <c r="H85" s="21"/>
      <c r="I85" s="21"/>
      <c r="J85" s="21"/>
      <c r="K85" s="21"/>
    </row>
    <row r="86" spans="1:11">
      <c r="A86" s="21"/>
      <c r="B86" s="21"/>
      <c r="C86" s="21"/>
      <c r="D86" s="21"/>
      <c r="E86" s="21"/>
      <c r="F86" s="21"/>
      <c r="G86" s="21"/>
      <c r="H86" s="21"/>
      <c r="I86" s="21"/>
      <c r="J86" s="21"/>
      <c r="K86" s="21"/>
    </row>
    <row r="87" spans="1:11">
      <c r="A87" s="21"/>
      <c r="B87" s="21"/>
      <c r="C87" s="21"/>
      <c r="D87" s="21"/>
      <c r="E87" s="21"/>
      <c r="F87" s="21"/>
      <c r="G87" s="21"/>
      <c r="H87" s="21"/>
      <c r="I87" s="21"/>
      <c r="J87" s="21"/>
      <c r="K87" s="21"/>
    </row>
    <row r="88" spans="1:11">
      <c r="A88" s="21"/>
      <c r="B88" s="21"/>
      <c r="C88" s="21"/>
      <c r="D88" s="21"/>
      <c r="E88" s="21"/>
      <c r="F88" s="21"/>
      <c r="G88" s="21"/>
      <c r="H88" s="21"/>
      <c r="I88" s="21"/>
      <c r="J88" s="21"/>
      <c r="K88" s="21"/>
    </row>
    <row r="89" spans="1:11">
      <c r="A89" s="21"/>
      <c r="B89" s="21"/>
      <c r="C89" s="21"/>
      <c r="D89" s="21"/>
      <c r="E89" s="21"/>
      <c r="F89" s="21"/>
      <c r="G89" s="21"/>
      <c r="H89" s="21"/>
      <c r="I89" s="21"/>
      <c r="J89" s="21"/>
      <c r="K89" s="21"/>
    </row>
    <row r="90" spans="1:11">
      <c r="A90" s="21"/>
      <c r="B90" s="21"/>
      <c r="C90" s="21"/>
      <c r="D90" s="21"/>
      <c r="E90" s="21"/>
      <c r="F90" s="21"/>
      <c r="G90" s="21"/>
      <c r="H90" s="21"/>
      <c r="I90" s="21"/>
      <c r="J90" s="21"/>
      <c r="K90" s="21"/>
    </row>
    <row r="91" spans="1:11">
      <c r="A91" s="21"/>
      <c r="B91" s="21"/>
      <c r="C91" s="21"/>
      <c r="D91" s="21"/>
      <c r="E91" s="21"/>
      <c r="F91" s="21"/>
      <c r="G91" s="21"/>
      <c r="H91" s="21"/>
      <c r="I91" s="21"/>
      <c r="J91" s="21"/>
      <c r="K91" s="21"/>
    </row>
    <row r="92" spans="1:11">
      <c r="A92" s="21"/>
      <c r="B92" s="21"/>
      <c r="C92" s="21"/>
      <c r="D92" s="21"/>
      <c r="E92" s="21"/>
      <c r="F92" s="21"/>
      <c r="G92" s="21"/>
      <c r="H92" s="21"/>
      <c r="I92" s="21"/>
      <c r="J92" s="21"/>
      <c r="K92" s="21"/>
    </row>
    <row r="93" spans="1:11">
      <c r="A93" s="21"/>
      <c r="B93" s="21"/>
      <c r="C93" s="21"/>
      <c r="D93" s="21"/>
      <c r="E93" s="21"/>
      <c r="F93" s="21"/>
      <c r="G93" s="21"/>
      <c r="H93" s="21"/>
      <c r="I93" s="21"/>
      <c r="J93" s="21"/>
      <c r="K93" s="21"/>
    </row>
    <row r="94" spans="1:11">
      <c r="A94" s="21"/>
      <c r="B94" s="21"/>
      <c r="C94" s="21"/>
      <c r="D94" s="21"/>
      <c r="E94" s="21"/>
      <c r="F94" s="21"/>
      <c r="G94" s="21"/>
      <c r="H94" s="21"/>
      <c r="I94" s="21"/>
      <c r="J94" s="21"/>
      <c r="K94" s="21"/>
    </row>
  </sheetData>
  <sheetProtection formatColumns="0" formatRows="0" insertColumns="0" insertRows="0"/>
  <printOptions horizontalCentered="1"/>
  <pageMargins left="0.25" right="0.25" top="0.75" bottom="0.75" header="0.3" footer="0.3"/>
  <pageSetup scale="97" orientation="portrait" r:id="rId1"/>
  <headerFooter scaleWithDoc="0">
    <oddHeader>&amp;C&amp;"-,Bold"&amp;20Lease Rate Comps</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325633" r:id="rId4" name="Button 1">
              <controlPr defaultSize="0" print="0" autoFill="0" autoPict="0" macro="[0]!PasteImageWithBorder_ExtraPage">
                <anchor moveWithCells="1" sizeWithCells="1">
                  <from>
                    <xdr:col>12</xdr:col>
                    <xdr:colOff>312420</xdr:colOff>
                    <xdr:row>3</xdr:row>
                    <xdr:rowOff>0</xdr:rowOff>
                  </from>
                  <to>
                    <xdr:col>15</xdr:col>
                    <xdr:colOff>304800</xdr:colOff>
                    <xdr:row>6</xdr:row>
                    <xdr:rowOff>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8863A-C2B3-4A7C-A595-98516BFE7058}">
  <sheetPr codeName="Sheet9"/>
  <dimension ref="A1:AC25"/>
  <sheetViews>
    <sheetView workbookViewId="0"/>
  </sheetViews>
  <sheetFormatPr defaultRowHeight="14.4"/>
  <cols>
    <col min="1" max="1" width="38" customWidth="1"/>
    <col min="2" max="2" width="39.6640625" customWidth="1"/>
    <col min="3" max="3" width="11.109375" customWidth="1"/>
    <col min="4" max="4" width="8.44140625" customWidth="1"/>
    <col min="5" max="5" width="12.44140625" customWidth="1"/>
    <col min="6" max="6" width="25.44140625" customWidth="1"/>
    <col min="7" max="7" width="16.5546875" customWidth="1"/>
    <col min="8" max="8" width="9.109375" style="1"/>
    <col min="10" max="10" width="9.109375" style="1"/>
    <col min="11" max="11" width="12.5546875" style="1" customWidth="1"/>
    <col min="12" max="13" width="9.109375" style="1"/>
    <col min="14" max="14" width="13.109375" style="1" bestFit="1" customWidth="1"/>
    <col min="15" max="15" width="12.109375" style="1" customWidth="1"/>
    <col min="16" max="16" width="18.88671875" style="1" customWidth="1"/>
    <col min="18" max="18" width="12.5546875" customWidth="1"/>
    <col min="20" max="20" width="17.88671875" customWidth="1"/>
    <col min="22" max="22" width="12.109375" customWidth="1"/>
    <col min="23" max="23" width="12.6640625" style="7" customWidth="1"/>
    <col min="24" max="24" width="11.33203125" customWidth="1"/>
    <col min="25" max="25" width="11.6640625" style="1" customWidth="1"/>
    <col min="26" max="26" width="17.44140625" customWidth="1"/>
    <col min="27" max="27" width="18.88671875" customWidth="1"/>
  </cols>
  <sheetData>
    <row r="1" spans="1:29">
      <c r="A1" s="4"/>
      <c r="B1" s="5" t="s">
        <v>14</v>
      </c>
      <c r="C1" s="4" t="s">
        <v>15</v>
      </c>
      <c r="D1" s="4"/>
      <c r="E1" s="4" t="s">
        <v>19</v>
      </c>
      <c r="F1" s="5"/>
      <c r="G1" s="4"/>
      <c r="H1" s="3" t="s">
        <v>21</v>
      </c>
      <c r="J1" s="250" t="s">
        <v>110</v>
      </c>
      <c r="K1" s="268">
        <f ca="1">TODAY()</f>
        <v>46232</v>
      </c>
      <c r="L1"/>
      <c r="M1"/>
      <c r="N1"/>
      <c r="O1"/>
      <c r="P1" s="9"/>
      <c r="Q1" s="9"/>
      <c r="R1" s="1"/>
      <c r="S1" s="16" t="s">
        <v>26</v>
      </c>
      <c r="T1" s="1"/>
      <c r="U1" s="1"/>
      <c r="V1" s="1"/>
      <c r="AC1" t="s">
        <v>145</v>
      </c>
    </row>
    <row r="2" spans="1:29">
      <c r="B2" s="1">
        <v>1</v>
      </c>
      <c r="C2" t="s">
        <v>27</v>
      </c>
      <c r="E2">
        <v>1</v>
      </c>
      <c r="G2" s="10"/>
      <c r="H2" s="1" t="s">
        <v>20</v>
      </c>
      <c r="J2" s="250" t="s">
        <v>271</v>
      </c>
      <c r="K2" s="269">
        <f ca="1">YEAR(K1)</f>
        <v>2026</v>
      </c>
      <c r="Q2" s="1"/>
      <c r="R2" s="1"/>
      <c r="S2" s="1"/>
      <c r="T2" s="1"/>
      <c r="U2" s="1"/>
      <c r="V2" s="1"/>
      <c r="AC2" t="s">
        <v>146</v>
      </c>
    </row>
    <row r="3" spans="1:29">
      <c r="B3" s="1">
        <v>2</v>
      </c>
      <c r="C3" t="s">
        <v>16</v>
      </c>
      <c r="E3">
        <v>2</v>
      </c>
      <c r="G3" s="11"/>
      <c r="J3" s="250" t="s">
        <v>111</v>
      </c>
      <c r="K3" s="269">
        <f>YEAR(INPUT!B5)</f>
        <v>2026</v>
      </c>
      <c r="L3" s="9"/>
      <c r="M3" s="9"/>
      <c r="N3" s="9"/>
      <c r="O3" s="9"/>
      <c r="P3" s="9"/>
      <c r="Q3" s="9"/>
      <c r="R3" s="9"/>
      <c r="S3" s="9"/>
      <c r="T3" s="9"/>
      <c r="U3" s="9"/>
      <c r="V3" s="9"/>
      <c r="Y3" s="9"/>
      <c r="Z3" s="20"/>
      <c r="AC3" t="s">
        <v>137</v>
      </c>
    </row>
    <row r="4" spans="1:29">
      <c r="B4" s="1">
        <v>3</v>
      </c>
      <c r="C4" t="s">
        <v>17</v>
      </c>
      <c r="E4">
        <v>3</v>
      </c>
      <c r="G4" s="1"/>
      <c r="J4" s="250" t="s">
        <v>112</v>
      </c>
      <c r="K4" s="21"/>
      <c r="Q4" s="1"/>
      <c r="R4" s="14"/>
      <c r="S4" s="8" t="s">
        <v>22</v>
      </c>
      <c r="T4" s="1" t="e">
        <f>VLOOKUP(SUB, 'Arranged Comps'!A:U,3,FALSE)</f>
        <v>#NAME?</v>
      </c>
      <c r="U4" s="9" t="s">
        <v>22</v>
      </c>
      <c r="V4" s="15"/>
      <c r="W4" s="18"/>
      <c r="X4" s="15"/>
      <c r="Y4" s="19"/>
      <c r="AC4" t="s">
        <v>147</v>
      </c>
    </row>
    <row r="5" spans="1:29">
      <c r="B5" s="1">
        <v>4</v>
      </c>
      <c r="C5" t="s">
        <v>18</v>
      </c>
      <c r="E5">
        <v>4</v>
      </c>
      <c r="J5" s="250" t="s">
        <v>113</v>
      </c>
      <c r="K5" s="21"/>
      <c r="N5" s="107"/>
      <c r="O5" s="15"/>
      <c r="P5" s="15"/>
      <c r="Q5" s="1"/>
      <c r="R5" s="14"/>
      <c r="S5" s="8">
        <v>1</v>
      </c>
      <c r="T5" s="1">
        <f>VLOOKUP(1, 'Arranged Comps'!A:U,4,FALSE)</f>
        <v>0</v>
      </c>
      <c r="U5" s="17">
        <v>1</v>
      </c>
      <c r="V5" s="15"/>
      <c r="W5" s="18"/>
      <c r="Y5" s="15"/>
      <c r="AC5" t="s">
        <v>148</v>
      </c>
    </row>
    <row r="6" spans="1:29">
      <c r="B6" s="1">
        <v>5</v>
      </c>
      <c r="J6" s="250" t="s">
        <v>114</v>
      </c>
      <c r="K6" s="21"/>
      <c r="N6" s="107"/>
      <c r="O6" s="15"/>
      <c r="P6" s="15"/>
      <c r="Q6" s="1"/>
      <c r="R6" s="14"/>
      <c r="S6" s="8">
        <v>2</v>
      </c>
      <c r="T6" s="1">
        <f>VLOOKUP(2, 'Arranged Comps'!A:U,4,FALSE)</f>
        <v>0</v>
      </c>
      <c r="U6" s="17">
        <v>2</v>
      </c>
      <c r="V6" s="15"/>
      <c r="W6" s="12"/>
      <c r="Y6" s="15"/>
      <c r="AC6" t="s">
        <v>149</v>
      </c>
    </row>
    <row r="7" spans="1:29">
      <c r="B7" s="1">
        <v>6</v>
      </c>
      <c r="J7" s="250" t="s">
        <v>115</v>
      </c>
      <c r="K7" s="21"/>
      <c r="N7" s="107"/>
      <c r="O7" s="15"/>
      <c r="P7" s="15"/>
      <c r="Q7" s="1"/>
      <c r="R7" s="14"/>
      <c r="S7" s="8">
        <v>3</v>
      </c>
      <c r="T7" s="1">
        <f>VLOOKUP(3, 'Arranged Comps'!A:U,4,FALSE)</f>
        <v>0</v>
      </c>
      <c r="U7" s="17">
        <v>3</v>
      </c>
      <c r="V7" s="15"/>
      <c r="W7" s="12"/>
      <c r="Y7" s="15"/>
      <c r="AC7" t="s">
        <v>150</v>
      </c>
    </row>
    <row r="8" spans="1:29">
      <c r="B8" s="1">
        <v>7</v>
      </c>
      <c r="D8" s="6"/>
      <c r="J8" s="250" t="s">
        <v>116</v>
      </c>
      <c r="K8" s="21"/>
      <c r="N8" s="107"/>
      <c r="O8" s="15"/>
      <c r="P8" s="15"/>
      <c r="Q8" s="1"/>
      <c r="R8" s="14"/>
      <c r="S8" s="8">
        <v>4</v>
      </c>
      <c r="T8" s="1">
        <f>VLOOKUP(4, 'Arranged Comps'!A:U,4,FALSE)</f>
        <v>0</v>
      </c>
      <c r="U8" s="17">
        <v>4</v>
      </c>
      <c r="V8" s="15"/>
      <c r="W8" s="12"/>
      <c r="Y8" s="15"/>
      <c r="AC8" t="s">
        <v>151</v>
      </c>
    </row>
    <row r="9" spans="1:29">
      <c r="B9" s="1">
        <v>8</v>
      </c>
      <c r="D9" s="6"/>
      <c r="J9" s="250" t="s">
        <v>117</v>
      </c>
      <c r="K9" s="21"/>
      <c r="N9" s="107"/>
      <c r="O9" s="15"/>
      <c r="P9" s="15"/>
      <c r="Q9" s="1"/>
      <c r="R9" s="14"/>
      <c r="S9" s="8">
        <v>5</v>
      </c>
      <c r="T9" s="1" t="e">
        <f>VLOOKUP(5, 'Arranged Comps'!A:U,4,FALSE)</f>
        <v>#N/A</v>
      </c>
      <c r="U9" s="17">
        <v>5</v>
      </c>
      <c r="V9" s="15"/>
      <c r="W9" s="12"/>
      <c r="Y9" s="15"/>
      <c r="AC9" t="s">
        <v>152</v>
      </c>
    </row>
    <row r="10" spans="1:29">
      <c r="J10" s="250" t="s">
        <v>118</v>
      </c>
      <c r="K10" s="21"/>
      <c r="N10" s="107"/>
      <c r="O10" s="15"/>
      <c r="P10" s="15"/>
      <c r="Q10" s="1"/>
      <c r="R10" s="14"/>
      <c r="S10" s="8">
        <v>6</v>
      </c>
      <c r="T10" s="1" t="e">
        <f>VLOOKUP(6, 'Arranged Comps'!A:U,4,FALSE)</f>
        <v>#N/A</v>
      </c>
      <c r="U10" s="17">
        <v>6</v>
      </c>
      <c r="V10" s="15"/>
      <c r="W10" s="12"/>
      <c r="Y10" s="15"/>
    </row>
    <row r="11" spans="1:29">
      <c r="J11" s="250" t="s">
        <v>119</v>
      </c>
      <c r="K11" s="21"/>
      <c r="N11" s="107"/>
      <c r="O11" s="15"/>
      <c r="P11" s="15"/>
      <c r="Q11" s="1"/>
      <c r="R11" s="14"/>
      <c r="S11" s="8">
        <v>7</v>
      </c>
      <c r="T11" s="1" t="e">
        <f>VLOOKUP(7, 'Arranged Comps'!A:U,4,FALSE)</f>
        <v>#N/A</v>
      </c>
      <c r="U11" s="17">
        <v>7</v>
      </c>
      <c r="V11" s="15"/>
      <c r="W11" s="12"/>
      <c r="Y11" s="15"/>
    </row>
    <row r="12" spans="1:29">
      <c r="J12" s="250" t="s">
        <v>120</v>
      </c>
      <c r="K12" s="21"/>
      <c r="N12" s="107"/>
      <c r="O12" s="15"/>
      <c r="P12" s="15"/>
      <c r="Q12" s="1"/>
      <c r="R12" s="14"/>
      <c r="S12" s="8">
        <v>8</v>
      </c>
      <c r="T12" s="1" t="e">
        <f>VLOOKUP(8, 'Arranged Comps'!A:U,4,FALSE)</f>
        <v>#N/A</v>
      </c>
      <c r="U12" s="17">
        <v>8</v>
      </c>
      <c r="V12" s="15"/>
      <c r="W12" s="12"/>
      <c r="Y12" s="15"/>
    </row>
    <row r="13" spans="1:29">
      <c r="J13" s="250" t="s">
        <v>121</v>
      </c>
      <c r="K13" s="21"/>
    </row>
    <row r="14" spans="1:29">
      <c r="J14" s="250" t="s">
        <v>122</v>
      </c>
      <c r="K14" s="21"/>
    </row>
    <row r="15" spans="1:29">
      <c r="J15" s="250" t="s">
        <v>123</v>
      </c>
      <c r="K15" s="21"/>
    </row>
    <row r="16" spans="1:29">
      <c r="A16" s="13"/>
      <c r="B16" s="13"/>
      <c r="C16" s="9"/>
      <c r="J16" s="250" t="s">
        <v>124</v>
      </c>
      <c r="K16" s="21"/>
    </row>
    <row r="17" spans="4:24" s="1" customFormat="1">
      <c r="D17"/>
      <c r="E17"/>
      <c r="F17"/>
      <c r="G17"/>
      <c r="I17"/>
      <c r="J17" s="250" t="s">
        <v>125</v>
      </c>
      <c r="K17" s="21"/>
      <c r="Q17"/>
      <c r="R17"/>
      <c r="S17"/>
      <c r="T17"/>
      <c r="U17"/>
      <c r="V17"/>
      <c r="W17" s="7"/>
      <c r="X17"/>
    </row>
    <row r="18" spans="4:24" s="1" customFormat="1">
      <c r="D18"/>
      <c r="E18"/>
      <c r="F18"/>
      <c r="G18"/>
      <c r="I18"/>
      <c r="J18" s="250" t="s">
        <v>126</v>
      </c>
      <c r="K18" s="255"/>
      <c r="Q18"/>
      <c r="R18"/>
      <c r="S18"/>
      <c r="T18"/>
      <c r="U18"/>
      <c r="V18"/>
      <c r="W18" s="7"/>
      <c r="X18"/>
    </row>
    <row r="19" spans="4:24" s="1" customFormat="1">
      <c r="D19"/>
      <c r="E19"/>
      <c r="F19"/>
      <c r="G19"/>
      <c r="I19"/>
      <c r="J19" s="250" t="s">
        <v>127</v>
      </c>
      <c r="K19" s="21"/>
      <c r="Q19"/>
      <c r="R19"/>
      <c r="S19"/>
      <c r="T19"/>
      <c r="U19"/>
      <c r="V19"/>
      <c r="W19" s="7"/>
      <c r="X19"/>
    </row>
    <row r="20" spans="4:24" s="1" customFormat="1">
      <c r="D20"/>
      <c r="E20"/>
      <c r="F20"/>
      <c r="G20"/>
      <c r="I20"/>
      <c r="J20" s="250" t="s">
        <v>128</v>
      </c>
      <c r="K20" s="21"/>
      <c r="Q20"/>
      <c r="R20"/>
      <c r="S20"/>
      <c r="T20"/>
      <c r="U20"/>
      <c r="V20"/>
      <c r="W20" s="7"/>
      <c r="X20"/>
    </row>
    <row r="21" spans="4:24" s="1" customFormat="1">
      <c r="D21"/>
      <c r="E21"/>
      <c r="F21"/>
      <c r="G21"/>
      <c r="I21"/>
      <c r="J21" s="250" t="s">
        <v>129</v>
      </c>
      <c r="K21" s="21"/>
      <c r="Q21"/>
      <c r="R21"/>
      <c r="S21"/>
      <c r="T21"/>
      <c r="U21"/>
      <c r="V21"/>
      <c r="W21" s="7"/>
      <c r="X21"/>
    </row>
    <row r="22" spans="4:24" s="1" customFormat="1">
      <c r="D22"/>
      <c r="E22"/>
      <c r="F22"/>
      <c r="G22"/>
      <c r="I22"/>
      <c r="J22" s="250" t="s">
        <v>130</v>
      </c>
      <c r="K22" s="21"/>
      <c r="Q22"/>
      <c r="R22"/>
      <c r="S22"/>
      <c r="T22"/>
      <c r="U22"/>
      <c r="V22"/>
      <c r="W22" s="7"/>
      <c r="X22"/>
    </row>
    <row r="23" spans="4:24" s="1" customFormat="1">
      <c r="D23"/>
      <c r="E23"/>
      <c r="F23"/>
      <c r="G23"/>
      <c r="I23"/>
      <c r="J23" s="250" t="s">
        <v>131</v>
      </c>
      <c r="K23" s="21"/>
      <c r="Q23"/>
      <c r="R23"/>
      <c r="S23"/>
      <c r="T23"/>
      <c r="U23"/>
      <c r="V23"/>
      <c r="W23" s="7"/>
      <c r="X23"/>
    </row>
    <row r="24" spans="4:24" s="1" customFormat="1">
      <c r="D24"/>
      <c r="E24"/>
      <c r="F24"/>
      <c r="G24"/>
      <c r="I24"/>
      <c r="J24" s="250" t="s">
        <v>132</v>
      </c>
      <c r="K24" s="21"/>
      <c r="Q24"/>
      <c r="R24"/>
      <c r="S24"/>
      <c r="T24"/>
      <c r="U24"/>
      <c r="V24"/>
      <c r="W24" s="7"/>
      <c r="X24"/>
    </row>
    <row r="25" spans="4:24" s="1" customFormat="1">
      <c r="D25"/>
      <c r="E25"/>
      <c r="F25"/>
      <c r="G25"/>
      <c r="I25"/>
      <c r="J25" s="250" t="s">
        <v>133</v>
      </c>
      <c r="K25" s="21"/>
      <c r="Q25"/>
      <c r="R25"/>
      <c r="S25"/>
      <c r="T25"/>
      <c r="U25"/>
      <c r="V25"/>
      <c r="W25" s="7"/>
      <c r="X25"/>
    </row>
  </sheetData>
  <sortState xmlns:xlrd2="http://schemas.microsoft.com/office/spreadsheetml/2017/richdata2" ref="F2:F9">
    <sortCondition ref="F2"/>
  </sortState>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C5BC3-67BC-4CD6-AB17-B5A7438E6E19}">
  <sheetPr codeName="Sheet40"/>
  <dimension ref="A1:AC25"/>
  <sheetViews>
    <sheetView workbookViewId="0">
      <selection activeCell="K3" sqref="K3"/>
    </sheetView>
  </sheetViews>
  <sheetFormatPr defaultRowHeight="14.4"/>
  <cols>
    <col min="1" max="1" width="38" customWidth="1"/>
    <col min="2" max="2" width="39.6640625" customWidth="1"/>
    <col min="3" max="3" width="11.109375" customWidth="1"/>
    <col min="4" max="4" width="8.44140625" customWidth="1"/>
    <col min="5" max="5" width="12.44140625" customWidth="1"/>
    <col min="6" max="6" width="25.44140625" customWidth="1"/>
    <col min="7" max="7" width="16.5546875" customWidth="1"/>
    <col min="8" max="8" width="9.109375" style="1"/>
    <col min="10" max="10" width="9.109375" style="1"/>
    <col min="11" max="11" width="12.5546875" style="1" customWidth="1"/>
    <col min="12" max="13" width="9.109375" style="1"/>
    <col min="14" max="14" width="13.109375" style="1" bestFit="1" customWidth="1"/>
    <col min="15" max="15" width="12.109375" style="1" customWidth="1"/>
    <col min="16" max="16" width="18.88671875" style="1" customWidth="1"/>
    <col min="18" max="18" width="12.5546875" customWidth="1"/>
    <col min="20" max="20" width="17.88671875" customWidth="1"/>
    <col min="22" max="22" width="12.109375" customWidth="1"/>
    <col min="23" max="23" width="12.6640625" style="7" customWidth="1"/>
    <col min="24" max="24" width="11.33203125" customWidth="1"/>
    <col min="25" max="25" width="11.6640625" style="1" customWidth="1"/>
    <col min="26" max="26" width="17.44140625" customWidth="1"/>
    <col min="27" max="27" width="18.88671875" customWidth="1"/>
  </cols>
  <sheetData>
    <row r="1" spans="1:29">
      <c r="A1" s="4"/>
      <c r="B1" s="5" t="s">
        <v>14</v>
      </c>
      <c r="C1" s="4" t="s">
        <v>15</v>
      </c>
      <c r="D1" s="4"/>
      <c r="E1" s="4" t="s">
        <v>19</v>
      </c>
      <c r="F1" s="5"/>
      <c r="G1" s="4"/>
      <c r="H1" s="3" t="s">
        <v>21</v>
      </c>
      <c r="J1" s="250" t="s">
        <v>110</v>
      </c>
      <c r="K1" s="268">
        <f ca="1">TODAY()</f>
        <v>46232</v>
      </c>
      <c r="L1"/>
      <c r="M1"/>
      <c r="N1"/>
      <c r="O1"/>
      <c r="P1" s="9"/>
      <c r="Q1" s="9"/>
      <c r="R1" s="1"/>
      <c r="S1" s="16" t="s">
        <v>26</v>
      </c>
      <c r="T1" s="1"/>
      <c r="U1" s="1"/>
      <c r="V1" s="1"/>
      <c r="AC1" t="s">
        <v>145</v>
      </c>
    </row>
    <row r="2" spans="1:29">
      <c r="B2" s="1">
        <v>1</v>
      </c>
      <c r="C2" t="s">
        <v>27</v>
      </c>
      <c r="E2">
        <v>1</v>
      </c>
      <c r="G2" s="10"/>
      <c r="H2" s="1" t="s">
        <v>20</v>
      </c>
      <c r="J2" s="250" t="s">
        <v>271</v>
      </c>
      <c r="K2" s="269">
        <f ca="1">YEAR(K1)</f>
        <v>2026</v>
      </c>
      <c r="Q2" s="1"/>
      <c r="R2" s="1"/>
      <c r="S2" s="1"/>
      <c r="T2" s="1"/>
      <c r="U2" s="1"/>
      <c r="V2" s="1"/>
      <c r="AC2" t="s">
        <v>146</v>
      </c>
    </row>
    <row r="3" spans="1:29">
      <c r="B3" s="1">
        <v>2</v>
      </c>
      <c r="C3" t="s">
        <v>16</v>
      </c>
      <c r="E3">
        <v>2</v>
      </c>
      <c r="G3" s="11"/>
      <c r="J3" s="250" t="s">
        <v>111</v>
      </c>
      <c r="K3" s="269">
        <f>YEAR(INPUT!B5)</f>
        <v>2026</v>
      </c>
      <c r="L3" s="9"/>
      <c r="M3" s="9"/>
      <c r="N3" s="9"/>
      <c r="O3" s="9"/>
      <c r="P3" s="9"/>
      <c r="Q3" s="9"/>
      <c r="R3" s="9"/>
      <c r="S3" s="9"/>
      <c r="T3" s="9"/>
      <c r="U3" s="9"/>
      <c r="V3" s="9"/>
      <c r="Y3" s="9"/>
      <c r="Z3" s="20"/>
      <c r="AC3" t="s">
        <v>137</v>
      </c>
    </row>
    <row r="4" spans="1:29">
      <c r="B4" s="1">
        <v>3</v>
      </c>
      <c r="C4" t="s">
        <v>17</v>
      </c>
      <c r="E4">
        <v>3</v>
      </c>
      <c r="G4" s="1"/>
      <c r="J4" s="250" t="s">
        <v>112</v>
      </c>
      <c r="K4" s="21"/>
      <c r="Q4" s="1"/>
      <c r="R4" s="14"/>
      <c r="S4" s="8" t="s">
        <v>22</v>
      </c>
      <c r="T4" s="1" t="e">
        <f>VLOOKUP(SUB, 'Arranged Comps'!A:U,3,FALSE)</f>
        <v>#NAME?</v>
      </c>
      <c r="U4" s="9" t="s">
        <v>22</v>
      </c>
      <c r="V4" s="15"/>
      <c r="W4" s="18"/>
      <c r="X4" s="15"/>
      <c r="Y4" s="19"/>
      <c r="AC4" t="s">
        <v>147</v>
      </c>
    </row>
    <row r="5" spans="1:29">
      <c r="B5" s="1">
        <v>4</v>
      </c>
      <c r="C5" t="s">
        <v>18</v>
      </c>
      <c r="E5">
        <v>4</v>
      </c>
      <c r="J5" s="250" t="s">
        <v>113</v>
      </c>
      <c r="K5" s="21"/>
      <c r="N5" s="107"/>
      <c r="O5" s="15"/>
      <c r="P5" s="15"/>
      <c r="Q5" s="1"/>
      <c r="R5" s="14"/>
      <c r="S5" s="8">
        <v>1</v>
      </c>
      <c r="T5" s="1">
        <f>VLOOKUP(1, 'Arranged Comps'!A:U,4,FALSE)</f>
        <v>0</v>
      </c>
      <c r="U5" s="17">
        <v>1</v>
      </c>
      <c r="V5" s="15"/>
      <c r="W5" s="18"/>
      <c r="Y5" s="15"/>
      <c r="AC5" t="s">
        <v>148</v>
      </c>
    </row>
    <row r="6" spans="1:29">
      <c r="B6" s="1">
        <v>5</v>
      </c>
      <c r="J6" s="250" t="s">
        <v>114</v>
      </c>
      <c r="K6" s="21"/>
      <c r="N6" s="107"/>
      <c r="O6" s="15"/>
      <c r="P6" s="15"/>
      <c r="Q6" s="1"/>
      <c r="R6" s="14"/>
      <c r="S6" s="8">
        <v>2</v>
      </c>
      <c r="T6" s="1">
        <f>VLOOKUP(2, 'Arranged Comps'!A:U,4,FALSE)</f>
        <v>0</v>
      </c>
      <c r="U6" s="17">
        <v>2</v>
      </c>
      <c r="V6" s="15"/>
      <c r="W6" s="12"/>
      <c r="Y6" s="15"/>
      <c r="AC6" t="s">
        <v>149</v>
      </c>
    </row>
    <row r="7" spans="1:29">
      <c r="B7" s="1">
        <v>6</v>
      </c>
      <c r="J7" s="250" t="s">
        <v>115</v>
      </c>
      <c r="K7" s="21"/>
      <c r="N7" s="107"/>
      <c r="O7" s="15"/>
      <c r="P7" s="15"/>
      <c r="Q7" s="1"/>
      <c r="R7" s="14"/>
      <c r="S7" s="8">
        <v>3</v>
      </c>
      <c r="T7" s="1">
        <f>VLOOKUP(3, 'Arranged Comps'!A:U,4,FALSE)</f>
        <v>0</v>
      </c>
      <c r="U7" s="17">
        <v>3</v>
      </c>
      <c r="V7" s="15"/>
      <c r="W7" s="12"/>
      <c r="Y7" s="15"/>
      <c r="AC7" t="s">
        <v>150</v>
      </c>
    </row>
    <row r="8" spans="1:29">
      <c r="B8" s="1">
        <v>7</v>
      </c>
      <c r="D8" s="6"/>
      <c r="J8" s="250" t="s">
        <v>116</v>
      </c>
      <c r="K8" s="21"/>
      <c r="N8" s="107"/>
      <c r="O8" s="15"/>
      <c r="P8" s="15"/>
      <c r="Q8" s="1"/>
      <c r="R8" s="14"/>
      <c r="S8" s="8">
        <v>4</v>
      </c>
      <c r="T8" s="1">
        <f>VLOOKUP(4, 'Arranged Comps'!A:U,4,FALSE)</f>
        <v>0</v>
      </c>
      <c r="U8" s="17">
        <v>4</v>
      </c>
      <c r="V8" s="15"/>
      <c r="W8" s="12"/>
      <c r="Y8" s="15"/>
      <c r="AC8" t="s">
        <v>151</v>
      </c>
    </row>
    <row r="9" spans="1:29">
      <c r="B9" s="1">
        <v>8</v>
      </c>
      <c r="D9" s="6"/>
      <c r="J9" s="250" t="s">
        <v>117</v>
      </c>
      <c r="K9" s="21"/>
      <c r="N9" s="107"/>
      <c r="O9" s="15"/>
      <c r="P9" s="15"/>
      <c r="Q9" s="1"/>
      <c r="R9" s="14"/>
      <c r="S9" s="8">
        <v>5</v>
      </c>
      <c r="T9" s="1" t="e">
        <f>VLOOKUP(5, 'Arranged Comps'!A:U,4,FALSE)</f>
        <v>#N/A</v>
      </c>
      <c r="U9" s="17">
        <v>5</v>
      </c>
      <c r="V9" s="15"/>
      <c r="W9" s="12"/>
      <c r="Y9" s="15"/>
      <c r="AC9" t="s">
        <v>152</v>
      </c>
    </row>
    <row r="10" spans="1:29">
      <c r="J10" s="250" t="s">
        <v>118</v>
      </c>
      <c r="K10" s="21"/>
      <c r="N10" s="107"/>
      <c r="O10" s="15"/>
      <c r="P10" s="15"/>
      <c r="Q10" s="1"/>
      <c r="R10" s="14"/>
      <c r="S10" s="8">
        <v>6</v>
      </c>
      <c r="T10" s="1" t="e">
        <f>VLOOKUP(6, 'Arranged Comps'!A:U,4,FALSE)</f>
        <v>#N/A</v>
      </c>
      <c r="U10" s="17">
        <v>6</v>
      </c>
      <c r="V10" s="15"/>
      <c r="W10" s="12"/>
      <c r="Y10" s="15"/>
    </row>
    <row r="11" spans="1:29">
      <c r="J11" s="250" t="s">
        <v>119</v>
      </c>
      <c r="K11" s="21"/>
      <c r="N11" s="107"/>
      <c r="O11" s="15"/>
      <c r="P11" s="15"/>
      <c r="Q11" s="1"/>
      <c r="R11" s="14"/>
      <c r="S11" s="8">
        <v>7</v>
      </c>
      <c r="T11" s="1" t="e">
        <f>VLOOKUP(7, 'Arranged Comps'!A:U,4,FALSE)</f>
        <v>#N/A</v>
      </c>
      <c r="U11" s="17">
        <v>7</v>
      </c>
      <c r="V11" s="15"/>
      <c r="W11" s="12"/>
      <c r="Y11" s="15"/>
    </row>
    <row r="12" spans="1:29">
      <c r="J12" s="250" t="s">
        <v>120</v>
      </c>
      <c r="K12" s="21"/>
      <c r="N12" s="107"/>
      <c r="O12" s="15"/>
      <c r="P12" s="15"/>
      <c r="Q12" s="1"/>
      <c r="R12" s="14"/>
      <c r="S12" s="8">
        <v>8</v>
      </c>
      <c r="T12" s="1" t="e">
        <f>VLOOKUP(8, 'Arranged Comps'!A:U,4,FALSE)</f>
        <v>#N/A</v>
      </c>
      <c r="U12" s="17">
        <v>8</v>
      </c>
      <c r="V12" s="15"/>
      <c r="W12" s="12"/>
      <c r="Y12" s="15"/>
    </row>
    <row r="13" spans="1:29">
      <c r="J13" s="250" t="s">
        <v>121</v>
      </c>
      <c r="K13" s="21"/>
    </row>
    <row r="14" spans="1:29">
      <c r="J14" s="250" t="s">
        <v>122</v>
      </c>
      <c r="K14" s="21"/>
    </row>
    <row r="15" spans="1:29">
      <c r="J15" s="250" t="s">
        <v>123</v>
      </c>
      <c r="K15" s="21"/>
    </row>
    <row r="16" spans="1:29">
      <c r="A16" s="13"/>
      <c r="B16" s="13"/>
      <c r="C16" s="9"/>
      <c r="J16" s="250" t="s">
        <v>124</v>
      </c>
      <c r="K16" s="21"/>
    </row>
    <row r="17" spans="4:24" s="1" customFormat="1">
      <c r="D17"/>
      <c r="E17"/>
      <c r="F17"/>
      <c r="G17"/>
      <c r="I17"/>
      <c r="J17" s="250" t="s">
        <v>125</v>
      </c>
      <c r="K17" s="21"/>
      <c r="Q17"/>
      <c r="R17"/>
      <c r="S17"/>
      <c r="T17"/>
      <c r="U17"/>
      <c r="V17"/>
      <c r="W17" s="7"/>
      <c r="X17"/>
    </row>
    <row r="18" spans="4:24" s="1" customFormat="1">
      <c r="D18"/>
      <c r="E18"/>
      <c r="F18"/>
      <c r="G18"/>
      <c r="I18"/>
      <c r="J18" s="250" t="s">
        <v>126</v>
      </c>
      <c r="K18" s="255"/>
      <c r="Q18"/>
      <c r="R18"/>
      <c r="S18"/>
      <c r="T18"/>
      <c r="U18"/>
      <c r="V18"/>
      <c r="W18" s="7"/>
      <c r="X18"/>
    </row>
    <row r="19" spans="4:24" s="1" customFormat="1">
      <c r="D19"/>
      <c r="E19"/>
      <c r="F19"/>
      <c r="G19"/>
      <c r="I19"/>
      <c r="J19" s="250" t="s">
        <v>127</v>
      </c>
      <c r="K19" s="21"/>
      <c r="Q19"/>
      <c r="R19"/>
      <c r="S19"/>
      <c r="T19"/>
      <c r="U19"/>
      <c r="V19"/>
      <c r="W19" s="7"/>
      <c r="X19"/>
    </row>
    <row r="20" spans="4:24" s="1" customFormat="1">
      <c r="D20"/>
      <c r="E20"/>
      <c r="F20"/>
      <c r="G20"/>
      <c r="I20"/>
      <c r="J20" s="250" t="s">
        <v>128</v>
      </c>
      <c r="K20" s="21"/>
      <c r="Q20"/>
      <c r="R20"/>
      <c r="S20"/>
      <c r="T20"/>
      <c r="U20"/>
      <c r="V20"/>
      <c r="W20" s="7"/>
      <c r="X20"/>
    </row>
    <row r="21" spans="4:24" s="1" customFormat="1">
      <c r="D21"/>
      <c r="E21"/>
      <c r="F21"/>
      <c r="G21"/>
      <c r="I21"/>
      <c r="J21" s="250" t="s">
        <v>129</v>
      </c>
      <c r="K21" s="21"/>
      <c r="Q21"/>
      <c r="R21"/>
      <c r="S21"/>
      <c r="T21"/>
      <c r="U21"/>
      <c r="V21"/>
      <c r="W21" s="7"/>
      <c r="X21"/>
    </row>
    <row r="22" spans="4:24" s="1" customFormat="1">
      <c r="D22"/>
      <c r="E22"/>
      <c r="F22"/>
      <c r="G22"/>
      <c r="I22"/>
      <c r="J22" s="250" t="s">
        <v>130</v>
      </c>
      <c r="K22" s="21"/>
      <c r="Q22"/>
      <c r="R22"/>
      <c r="S22"/>
      <c r="T22"/>
      <c r="U22"/>
      <c r="V22"/>
      <c r="W22" s="7"/>
      <c r="X22"/>
    </row>
    <row r="23" spans="4:24" s="1" customFormat="1">
      <c r="D23"/>
      <c r="E23"/>
      <c r="F23"/>
      <c r="G23"/>
      <c r="I23"/>
      <c r="J23" s="250" t="s">
        <v>131</v>
      </c>
      <c r="K23" s="21"/>
      <c r="Q23"/>
      <c r="R23"/>
      <c r="S23"/>
      <c r="T23"/>
      <c r="U23"/>
      <c r="V23"/>
      <c r="W23" s="7"/>
      <c r="X23"/>
    </row>
    <row r="24" spans="4:24" s="1" customFormat="1">
      <c r="D24"/>
      <c r="E24"/>
      <c r="F24"/>
      <c r="G24"/>
      <c r="I24"/>
      <c r="J24" s="250" t="s">
        <v>132</v>
      </c>
      <c r="K24" s="21"/>
      <c r="Q24"/>
      <c r="R24"/>
      <c r="S24"/>
      <c r="T24"/>
      <c r="U24"/>
      <c r="V24"/>
      <c r="W24" s="7"/>
      <c r="X24"/>
    </row>
    <row r="25" spans="4:24" s="1" customFormat="1">
      <c r="D25"/>
      <c r="E25"/>
      <c r="F25"/>
      <c r="G25"/>
      <c r="I25"/>
      <c r="J25" s="250" t="s">
        <v>133</v>
      </c>
      <c r="K25" s="21"/>
      <c r="Q25"/>
      <c r="R25"/>
      <c r="S25"/>
      <c r="T25"/>
      <c r="U25"/>
      <c r="V25"/>
      <c r="W25" s="7"/>
      <c r="X25"/>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B65ABB-6569-49A9-BEC4-E83BDEB574E9}">
  <sheetPr codeName="Sheet39">
    <tabColor theme="9" tint="-0.249977111117893"/>
  </sheetPr>
  <dimension ref="A1:K94"/>
  <sheetViews>
    <sheetView view="pageLayout" zoomScale="115" zoomScaleNormal="115" zoomScaleSheetLayoutView="130" zoomScalePageLayoutView="115" workbookViewId="0"/>
  </sheetViews>
  <sheetFormatPr defaultRowHeight="14.4"/>
  <cols>
    <col min="1" max="1" width="9.6640625" customWidth="1"/>
    <col min="11" max="11" width="9.6640625" customWidth="1"/>
  </cols>
  <sheetData>
    <row r="1" spans="1:11">
      <c r="A1" s="21"/>
      <c r="B1" s="21"/>
      <c r="C1" s="21"/>
      <c r="D1" s="21"/>
      <c r="E1" s="21"/>
      <c r="F1" s="21"/>
      <c r="G1" s="21"/>
      <c r="H1" s="21"/>
      <c r="I1" s="21"/>
      <c r="J1" s="21"/>
      <c r="K1" s="21"/>
    </row>
    <row r="2" spans="1:11">
      <c r="A2" s="21"/>
      <c r="B2" s="21"/>
      <c r="C2" s="21"/>
      <c r="D2" s="21"/>
      <c r="E2" s="21"/>
      <c r="F2" s="21"/>
      <c r="G2" s="21"/>
      <c r="H2" s="21"/>
      <c r="I2" s="21"/>
      <c r="J2" s="21"/>
      <c r="K2" s="21"/>
    </row>
    <row r="3" spans="1:11">
      <c r="A3" s="21"/>
      <c r="B3" s="21"/>
      <c r="C3" s="21"/>
      <c r="D3" s="21"/>
      <c r="E3" s="21"/>
      <c r="F3" s="21"/>
      <c r="G3" s="21"/>
      <c r="H3" s="21"/>
      <c r="I3" s="21"/>
      <c r="J3" s="21"/>
      <c r="K3" s="21"/>
    </row>
    <row r="4" spans="1:11">
      <c r="A4" s="21"/>
      <c r="B4" s="21"/>
      <c r="C4" s="21"/>
      <c r="D4" s="21"/>
      <c r="E4" s="21"/>
      <c r="F4" s="21"/>
      <c r="G4" s="21"/>
      <c r="H4" s="21"/>
      <c r="I4" s="21"/>
      <c r="J4" s="21"/>
      <c r="K4" s="21"/>
    </row>
    <row r="5" spans="1:11">
      <c r="A5" s="21"/>
      <c r="B5" s="21"/>
      <c r="C5" s="21"/>
      <c r="D5" s="21"/>
      <c r="E5" s="21"/>
      <c r="F5" s="21"/>
      <c r="G5" s="21"/>
      <c r="H5" s="21"/>
      <c r="I5" s="21"/>
      <c r="J5" s="21"/>
      <c r="K5" s="21"/>
    </row>
    <row r="6" spans="1:11">
      <c r="A6" s="21"/>
      <c r="B6" s="21"/>
      <c r="C6" s="21"/>
      <c r="D6" s="21"/>
      <c r="E6" s="21"/>
      <c r="F6" s="21"/>
      <c r="G6" s="21"/>
      <c r="H6" s="21"/>
      <c r="I6" s="21"/>
      <c r="J6" s="21"/>
      <c r="K6" s="21"/>
    </row>
    <row r="7" spans="1:11">
      <c r="A7" s="21"/>
      <c r="B7" s="21"/>
      <c r="C7" s="21"/>
      <c r="D7" s="21"/>
      <c r="E7" s="21"/>
      <c r="F7" s="21"/>
      <c r="G7" s="21"/>
      <c r="H7" s="21"/>
      <c r="I7" s="21"/>
      <c r="J7" s="21"/>
      <c r="K7" s="21"/>
    </row>
    <row r="8" spans="1:11">
      <c r="A8" s="21"/>
      <c r="B8" s="21"/>
      <c r="C8" s="21"/>
      <c r="D8" s="21"/>
      <c r="E8" s="21"/>
      <c r="F8" s="21"/>
      <c r="G8" s="21"/>
      <c r="H8" s="21"/>
      <c r="I8" s="21"/>
      <c r="J8" s="21"/>
      <c r="K8" s="21"/>
    </row>
    <row r="9" spans="1:11">
      <c r="A9" s="21"/>
      <c r="B9" s="21"/>
      <c r="C9" s="21"/>
      <c r="D9" s="21"/>
      <c r="E9" s="21"/>
      <c r="F9" s="21"/>
      <c r="G9" s="21"/>
      <c r="H9" s="21"/>
      <c r="I9" s="21"/>
      <c r="J9" s="21"/>
      <c r="K9" s="21"/>
    </row>
    <row r="10" spans="1:11">
      <c r="A10" s="21"/>
      <c r="B10" s="21"/>
      <c r="C10" s="21"/>
      <c r="D10" s="21"/>
      <c r="E10" s="21"/>
      <c r="F10" s="21"/>
      <c r="G10" s="21"/>
      <c r="H10" s="21"/>
      <c r="I10" s="21"/>
      <c r="J10" s="21"/>
      <c r="K10" s="21"/>
    </row>
    <row r="11" spans="1:11">
      <c r="A11" s="21"/>
      <c r="B11" s="21"/>
      <c r="C11" s="21"/>
      <c r="D11" s="21"/>
      <c r="E11" s="21"/>
      <c r="F11" s="21"/>
      <c r="G11" s="21"/>
      <c r="H11" s="21"/>
      <c r="I11" s="21"/>
      <c r="J11" s="21"/>
      <c r="K11" s="21"/>
    </row>
    <row r="12" spans="1:11">
      <c r="A12" s="21"/>
      <c r="B12" s="21"/>
      <c r="C12" s="21"/>
      <c r="D12" s="21"/>
      <c r="E12" s="21"/>
      <c r="F12" s="21"/>
      <c r="G12" s="21"/>
      <c r="H12" s="21"/>
      <c r="I12" s="21"/>
      <c r="J12" s="21"/>
      <c r="K12" s="21"/>
    </row>
    <row r="13" spans="1:11">
      <c r="A13" s="21"/>
      <c r="B13" s="21"/>
      <c r="C13" s="21"/>
      <c r="D13" s="21"/>
      <c r="E13" s="21"/>
      <c r="F13" s="21"/>
      <c r="G13" s="21"/>
      <c r="H13" s="21"/>
      <c r="I13" s="21"/>
      <c r="J13" s="21"/>
      <c r="K13" s="21"/>
    </row>
    <row r="14" spans="1:11">
      <c r="A14" s="21"/>
      <c r="B14" s="21"/>
      <c r="C14" s="21"/>
      <c r="D14" s="21"/>
      <c r="E14" s="21"/>
      <c r="F14" s="21"/>
      <c r="G14" s="21"/>
      <c r="H14" s="21"/>
      <c r="I14" s="21"/>
      <c r="J14" s="21"/>
      <c r="K14" s="21"/>
    </row>
    <row r="15" spans="1:11">
      <c r="A15" s="21"/>
      <c r="B15" s="21"/>
      <c r="C15" s="21"/>
      <c r="D15" s="21"/>
      <c r="E15" s="21"/>
      <c r="F15" s="21"/>
      <c r="G15" s="21"/>
      <c r="H15" s="21"/>
      <c r="I15" s="21"/>
      <c r="J15" s="21"/>
      <c r="K15" s="21"/>
    </row>
    <row r="16" spans="1:11">
      <c r="A16" s="21"/>
      <c r="B16" s="21"/>
      <c r="C16" s="21"/>
      <c r="D16" s="21"/>
      <c r="E16" s="21"/>
      <c r="F16" s="21"/>
      <c r="G16" s="21"/>
      <c r="H16" s="21"/>
      <c r="I16" s="21"/>
      <c r="J16" s="21"/>
      <c r="K16" s="21"/>
    </row>
    <row r="17" spans="1:11">
      <c r="A17" s="21"/>
      <c r="B17" s="21"/>
      <c r="C17" s="21"/>
      <c r="D17" s="21"/>
      <c r="E17" s="21"/>
      <c r="F17" s="21"/>
      <c r="G17" s="21"/>
      <c r="H17" s="21"/>
      <c r="I17" s="21"/>
      <c r="J17" s="21"/>
      <c r="K17" s="21"/>
    </row>
    <row r="18" spans="1:11">
      <c r="A18" s="21"/>
      <c r="B18" s="21"/>
      <c r="C18" s="21"/>
      <c r="D18" s="21"/>
      <c r="E18" s="21"/>
      <c r="F18" s="21"/>
      <c r="G18" s="21"/>
      <c r="H18" s="21"/>
      <c r="I18" s="21"/>
      <c r="J18" s="21"/>
      <c r="K18" s="21"/>
    </row>
    <row r="19" spans="1:11">
      <c r="A19" s="21"/>
      <c r="B19" s="21"/>
      <c r="C19" s="21"/>
      <c r="D19" s="21"/>
      <c r="E19" s="21"/>
      <c r="F19" s="21"/>
      <c r="G19" s="21"/>
      <c r="H19" s="21"/>
      <c r="I19" s="21"/>
      <c r="J19" s="21"/>
      <c r="K19" s="21"/>
    </row>
    <row r="20" spans="1:11">
      <c r="A20" s="21"/>
      <c r="B20" s="21"/>
      <c r="C20" s="21"/>
      <c r="D20" s="21"/>
      <c r="E20" s="21"/>
      <c r="F20" s="21"/>
      <c r="G20" s="21"/>
      <c r="H20" s="21"/>
      <c r="I20" s="21"/>
      <c r="J20" s="21"/>
      <c r="K20" s="21"/>
    </row>
    <row r="21" spans="1:11">
      <c r="A21" s="21"/>
      <c r="B21" s="21"/>
      <c r="C21" s="21"/>
      <c r="D21" s="21"/>
      <c r="E21" s="21"/>
      <c r="F21" s="21"/>
      <c r="G21" s="21"/>
      <c r="H21" s="21"/>
      <c r="I21" s="21"/>
      <c r="J21" s="21"/>
      <c r="K21" s="21"/>
    </row>
    <row r="22" spans="1:11">
      <c r="A22" s="21"/>
      <c r="B22" s="21"/>
      <c r="C22" s="21"/>
      <c r="D22" s="21"/>
      <c r="E22" s="21"/>
      <c r="F22" s="21"/>
      <c r="G22" s="21"/>
      <c r="H22" s="21"/>
      <c r="I22" s="21"/>
      <c r="J22" s="21"/>
      <c r="K22" s="21"/>
    </row>
    <row r="23" spans="1:11">
      <c r="A23" s="21"/>
      <c r="B23" s="21"/>
      <c r="C23" s="21"/>
      <c r="D23" s="21"/>
      <c r="E23" s="21"/>
      <c r="F23" s="21"/>
      <c r="G23" s="21"/>
      <c r="H23" s="21"/>
      <c r="I23" s="21"/>
      <c r="J23" s="21"/>
      <c r="K23" s="21"/>
    </row>
    <row r="24" spans="1:11">
      <c r="A24" s="21"/>
      <c r="B24" s="21"/>
      <c r="C24" s="21"/>
      <c r="D24" s="21"/>
      <c r="E24" s="21"/>
      <c r="F24" s="21"/>
      <c r="G24" s="21"/>
      <c r="H24" s="21"/>
      <c r="I24" s="21"/>
      <c r="J24" s="21"/>
      <c r="K24" s="21"/>
    </row>
    <row r="25" spans="1:11">
      <c r="A25" s="21"/>
      <c r="B25" s="21"/>
      <c r="C25" s="21"/>
      <c r="D25" s="21"/>
      <c r="E25" s="21"/>
      <c r="F25" s="21"/>
      <c r="G25" s="21"/>
      <c r="H25" s="21"/>
      <c r="I25" s="21"/>
      <c r="J25" s="21"/>
      <c r="K25" s="21"/>
    </row>
    <row r="26" spans="1:11">
      <c r="A26" s="21"/>
      <c r="B26" s="21"/>
      <c r="C26" s="21"/>
      <c r="D26" s="21"/>
      <c r="E26" s="21"/>
      <c r="F26" s="21"/>
      <c r="G26" s="21"/>
      <c r="H26" s="21"/>
      <c r="I26" s="21"/>
      <c r="J26" s="21"/>
      <c r="K26" s="21"/>
    </row>
    <row r="27" spans="1:11">
      <c r="A27" s="21"/>
      <c r="B27" s="21"/>
      <c r="C27" s="21"/>
      <c r="D27" s="21"/>
      <c r="E27" s="21"/>
      <c r="F27" s="21"/>
      <c r="G27" s="21"/>
      <c r="H27" s="21"/>
      <c r="I27" s="21"/>
      <c r="J27" s="21"/>
      <c r="K27" s="21"/>
    </row>
    <row r="28" spans="1:11">
      <c r="A28" s="21"/>
      <c r="B28" s="21"/>
      <c r="C28" s="21"/>
      <c r="D28" s="21"/>
      <c r="E28" s="21"/>
      <c r="F28" s="21"/>
      <c r="G28" s="21"/>
      <c r="H28" s="21"/>
      <c r="I28" s="21"/>
      <c r="J28" s="21"/>
      <c r="K28" s="21"/>
    </row>
    <row r="29" spans="1:11">
      <c r="A29" s="21"/>
      <c r="B29" s="21"/>
      <c r="C29" s="21"/>
      <c r="D29" s="21"/>
      <c r="E29" s="21"/>
      <c r="F29" s="21"/>
      <c r="G29" s="21"/>
      <c r="H29" s="21"/>
      <c r="I29" s="21"/>
      <c r="J29" s="21"/>
      <c r="K29" s="21"/>
    </row>
    <row r="30" spans="1:11">
      <c r="A30" s="21"/>
      <c r="B30" s="21"/>
      <c r="C30" s="21"/>
      <c r="D30" s="21"/>
      <c r="E30" s="21"/>
      <c r="F30" s="21"/>
      <c r="G30" s="21"/>
      <c r="H30" s="21"/>
      <c r="I30" s="21"/>
      <c r="J30" s="21"/>
      <c r="K30" s="21"/>
    </row>
    <row r="31" spans="1:11">
      <c r="A31" s="21"/>
      <c r="B31" s="21"/>
      <c r="C31" s="21"/>
      <c r="D31" s="21"/>
      <c r="E31" s="21"/>
      <c r="F31" s="21"/>
      <c r="G31" s="21"/>
      <c r="H31" s="21"/>
      <c r="I31" s="21"/>
      <c r="J31" s="21"/>
      <c r="K31" s="21"/>
    </row>
    <row r="32" spans="1:11">
      <c r="A32" s="21"/>
      <c r="B32" s="21"/>
      <c r="C32" s="21"/>
      <c r="D32" s="21"/>
      <c r="E32" s="21"/>
      <c r="F32" s="21"/>
      <c r="G32" s="21"/>
      <c r="H32" s="21"/>
      <c r="I32" s="21"/>
      <c r="J32" s="21"/>
      <c r="K32" s="21"/>
    </row>
    <row r="33" spans="1:11">
      <c r="A33" s="21"/>
      <c r="B33" s="21"/>
      <c r="C33" s="21"/>
      <c r="D33" s="21"/>
      <c r="E33" s="21"/>
      <c r="F33" s="21"/>
      <c r="G33" s="21"/>
      <c r="H33" s="21"/>
      <c r="I33" s="21"/>
      <c r="J33" s="21"/>
      <c r="K33" s="21"/>
    </row>
    <row r="34" spans="1:11">
      <c r="A34" s="21"/>
      <c r="B34" s="21"/>
      <c r="C34" s="21"/>
      <c r="D34" s="21"/>
      <c r="E34" s="21"/>
      <c r="F34" s="21"/>
      <c r="G34" s="21"/>
      <c r="H34" s="21"/>
      <c r="I34" s="21"/>
      <c r="J34" s="21"/>
      <c r="K34" s="21"/>
    </row>
    <row r="35" spans="1:11">
      <c r="A35" s="21"/>
      <c r="B35" s="21"/>
      <c r="C35" s="21"/>
      <c r="D35" s="21"/>
      <c r="E35" s="21"/>
      <c r="F35" s="21"/>
      <c r="G35" s="21"/>
      <c r="H35" s="21"/>
      <c r="I35" s="21"/>
      <c r="J35" s="21"/>
      <c r="K35" s="21"/>
    </row>
    <row r="36" spans="1:11">
      <c r="A36" s="21"/>
      <c r="B36" s="21"/>
      <c r="C36" s="21"/>
      <c r="D36" s="21"/>
      <c r="E36" s="21"/>
      <c r="F36" s="21"/>
      <c r="G36" s="21"/>
      <c r="H36" s="21"/>
      <c r="I36" s="21"/>
      <c r="J36" s="21"/>
      <c r="K36" s="21"/>
    </row>
    <row r="37" spans="1:11">
      <c r="A37" s="21"/>
      <c r="B37" s="21"/>
      <c r="C37" s="21"/>
      <c r="D37" s="21"/>
      <c r="E37" s="21"/>
      <c r="F37" s="21"/>
      <c r="G37" s="21"/>
      <c r="H37" s="21"/>
      <c r="I37" s="21"/>
      <c r="J37" s="21"/>
      <c r="K37" s="21"/>
    </row>
    <row r="38" spans="1:11">
      <c r="A38" s="21"/>
      <c r="B38" s="21"/>
      <c r="C38" s="21"/>
      <c r="D38" s="21"/>
      <c r="E38" s="21"/>
      <c r="F38" s="21"/>
      <c r="G38" s="21"/>
      <c r="H38" s="21"/>
      <c r="I38" s="21"/>
      <c r="J38" s="21"/>
      <c r="K38" s="21"/>
    </row>
    <row r="39" spans="1:11">
      <c r="A39" s="21"/>
      <c r="B39" s="21"/>
      <c r="C39" s="21"/>
      <c r="D39" s="21"/>
      <c r="E39" s="21"/>
      <c r="F39" s="21"/>
      <c r="G39" s="21"/>
      <c r="H39" s="21"/>
      <c r="I39" s="21"/>
      <c r="J39" s="21"/>
      <c r="K39" s="21"/>
    </row>
    <row r="40" spans="1:11">
      <c r="A40" s="21"/>
      <c r="B40" s="21"/>
      <c r="C40" s="21"/>
      <c r="D40" s="21"/>
      <c r="E40" s="21"/>
      <c r="F40" s="21"/>
      <c r="G40" s="21"/>
      <c r="H40" s="21"/>
      <c r="I40" s="21"/>
      <c r="J40" s="21"/>
      <c r="K40" s="21"/>
    </row>
    <row r="41" spans="1:11">
      <c r="A41" s="21"/>
      <c r="B41" s="21"/>
      <c r="C41" s="21"/>
      <c r="D41" s="21"/>
      <c r="E41" s="21"/>
      <c r="F41" s="21"/>
      <c r="G41" s="21"/>
      <c r="H41" s="21"/>
      <c r="I41" s="21"/>
      <c r="J41" s="21"/>
      <c r="K41" s="21"/>
    </row>
    <row r="42" spans="1:11">
      <c r="A42" s="21"/>
      <c r="B42" s="21"/>
      <c r="C42" s="21"/>
      <c r="D42" s="21"/>
      <c r="E42" s="21"/>
      <c r="F42" s="21"/>
      <c r="G42" s="21"/>
      <c r="H42" s="21"/>
      <c r="I42" s="21"/>
      <c r="J42" s="21"/>
      <c r="K42" s="21"/>
    </row>
    <row r="43" spans="1:11">
      <c r="A43" s="21"/>
      <c r="B43" s="21"/>
      <c r="C43" s="21"/>
      <c r="D43" s="21"/>
      <c r="E43" s="21"/>
      <c r="F43" s="21"/>
      <c r="G43" s="21"/>
      <c r="H43" s="21"/>
      <c r="I43" s="21"/>
      <c r="J43" s="21"/>
      <c r="K43" s="21"/>
    </row>
    <row r="44" spans="1:11">
      <c r="A44" s="21"/>
      <c r="B44" s="21"/>
      <c r="C44" s="21"/>
      <c r="D44" s="21"/>
      <c r="E44" s="21"/>
      <c r="F44" s="21"/>
      <c r="G44" s="21"/>
      <c r="H44" s="21"/>
      <c r="I44" s="21"/>
      <c r="J44" s="21"/>
      <c r="K44" s="21"/>
    </row>
    <row r="45" spans="1:11">
      <c r="A45" s="21"/>
      <c r="B45" s="21"/>
      <c r="C45" s="21"/>
      <c r="D45" s="21"/>
      <c r="E45" s="21"/>
      <c r="F45" s="21"/>
      <c r="G45" s="21"/>
      <c r="H45" s="21"/>
      <c r="I45" s="21"/>
      <c r="J45" s="21"/>
      <c r="K45" s="21"/>
    </row>
    <row r="46" spans="1:11">
      <c r="A46" s="21"/>
      <c r="B46" s="21"/>
      <c r="C46" s="21"/>
      <c r="D46" s="21"/>
      <c r="E46" s="21"/>
      <c r="F46" s="21"/>
      <c r="G46" s="21"/>
      <c r="H46" s="21"/>
      <c r="I46" s="21"/>
      <c r="J46" s="21"/>
      <c r="K46" s="21"/>
    </row>
    <row r="47" spans="1:11">
      <c r="A47" s="21"/>
      <c r="B47" s="21"/>
      <c r="C47" s="21"/>
      <c r="D47" s="21"/>
      <c r="E47" s="21"/>
      <c r="F47" s="21"/>
      <c r="G47" s="21"/>
      <c r="H47" s="21"/>
      <c r="I47" s="21"/>
      <c r="J47" s="21"/>
      <c r="K47" s="21"/>
    </row>
    <row r="48" spans="1:11">
      <c r="A48" s="21"/>
      <c r="B48" s="21"/>
      <c r="C48" s="21"/>
      <c r="D48" s="21"/>
      <c r="E48" s="21"/>
      <c r="F48" s="21"/>
      <c r="G48" s="21"/>
      <c r="H48" s="21"/>
      <c r="I48" s="21"/>
      <c r="J48" s="21"/>
      <c r="K48" s="21"/>
    </row>
    <row r="49" spans="1:11">
      <c r="A49" s="21"/>
      <c r="B49" s="21"/>
      <c r="C49" s="21"/>
      <c r="D49" s="21"/>
      <c r="E49" s="21"/>
      <c r="F49" s="21"/>
      <c r="G49" s="21"/>
      <c r="H49" s="21"/>
      <c r="I49" s="21"/>
      <c r="J49" s="21"/>
      <c r="K49" s="21"/>
    </row>
    <row r="50" spans="1:11">
      <c r="A50" s="21"/>
      <c r="B50" s="21"/>
      <c r="C50" s="21"/>
      <c r="D50" s="21"/>
      <c r="E50" s="21"/>
      <c r="F50" s="21"/>
      <c r="G50" s="21"/>
      <c r="H50" s="21"/>
      <c r="I50" s="21"/>
      <c r="J50" s="21"/>
      <c r="K50" s="21"/>
    </row>
    <row r="51" spans="1:11">
      <c r="A51" s="21"/>
      <c r="B51" s="21"/>
      <c r="C51" s="21"/>
      <c r="D51" s="21"/>
      <c r="E51" s="21"/>
      <c r="F51" s="21"/>
      <c r="G51" s="21"/>
      <c r="H51" s="21"/>
      <c r="I51" s="21"/>
      <c r="J51" s="21"/>
      <c r="K51" s="21"/>
    </row>
    <row r="52" spans="1:11">
      <c r="A52" s="21"/>
      <c r="B52" s="21"/>
      <c r="C52" s="21"/>
      <c r="D52" s="21"/>
      <c r="E52" s="21"/>
      <c r="F52" s="21"/>
      <c r="G52" s="21"/>
      <c r="H52" s="21"/>
      <c r="I52" s="21"/>
      <c r="J52" s="21"/>
      <c r="K52" s="21"/>
    </row>
    <row r="53" spans="1:11">
      <c r="A53" s="21"/>
      <c r="B53" s="21"/>
      <c r="C53" s="21"/>
      <c r="D53" s="21"/>
      <c r="E53" s="21"/>
      <c r="F53" s="21"/>
      <c r="G53" s="21"/>
      <c r="H53" s="21"/>
      <c r="I53" s="21"/>
      <c r="J53" s="21"/>
      <c r="K53" s="21"/>
    </row>
    <row r="54" spans="1:11">
      <c r="A54" s="21"/>
      <c r="B54" s="21"/>
      <c r="C54" s="21"/>
      <c r="D54" s="21"/>
      <c r="E54" s="21"/>
      <c r="F54" s="21"/>
      <c r="G54" s="21"/>
      <c r="H54" s="21"/>
      <c r="I54" s="21"/>
      <c r="J54" s="21"/>
      <c r="K54" s="21"/>
    </row>
    <row r="55" spans="1:11">
      <c r="A55" s="21"/>
      <c r="B55" s="21"/>
      <c r="C55" s="21"/>
      <c r="D55" s="21"/>
      <c r="E55" s="21"/>
      <c r="F55" s="21"/>
      <c r="G55" s="21"/>
      <c r="H55" s="21"/>
      <c r="I55" s="21"/>
      <c r="J55" s="21"/>
      <c r="K55" s="21"/>
    </row>
    <row r="56" spans="1:11">
      <c r="A56" s="21"/>
      <c r="B56" s="21"/>
      <c r="C56" s="21"/>
      <c r="D56" s="21"/>
      <c r="E56" s="21"/>
      <c r="F56" s="21"/>
      <c r="G56" s="21"/>
      <c r="H56" s="21"/>
      <c r="I56" s="21"/>
      <c r="J56" s="21"/>
      <c r="K56" s="21"/>
    </row>
    <row r="57" spans="1:11">
      <c r="A57" s="21"/>
      <c r="B57" s="21"/>
      <c r="C57" s="21"/>
      <c r="D57" s="21"/>
      <c r="E57" s="21"/>
      <c r="F57" s="21"/>
      <c r="G57" s="21"/>
      <c r="H57" s="21"/>
      <c r="I57" s="21"/>
      <c r="J57" s="21"/>
      <c r="K57" s="21"/>
    </row>
    <row r="58" spans="1:11">
      <c r="A58" s="21"/>
      <c r="B58" s="21"/>
      <c r="C58" s="21"/>
      <c r="D58" s="21"/>
      <c r="E58" s="21"/>
      <c r="F58" s="21"/>
      <c r="G58" s="21"/>
      <c r="H58" s="21"/>
      <c r="I58" s="21"/>
      <c r="J58" s="21"/>
      <c r="K58" s="21"/>
    </row>
    <row r="59" spans="1:11">
      <c r="A59" s="21"/>
      <c r="B59" s="21"/>
      <c r="C59" s="21"/>
      <c r="D59" s="21"/>
      <c r="E59" s="21"/>
      <c r="F59" s="21"/>
      <c r="G59" s="21"/>
      <c r="H59" s="21"/>
      <c r="I59" s="21"/>
      <c r="J59" s="21"/>
      <c r="K59" s="21"/>
    </row>
    <row r="60" spans="1:11">
      <c r="A60" s="21"/>
      <c r="B60" s="21"/>
      <c r="C60" s="21"/>
      <c r="D60" s="21"/>
      <c r="E60" s="21"/>
      <c r="F60" s="21"/>
      <c r="G60" s="21"/>
      <c r="H60" s="21"/>
      <c r="I60" s="21"/>
      <c r="J60" s="21"/>
      <c r="K60" s="21"/>
    </row>
    <row r="61" spans="1:11">
      <c r="A61" s="21"/>
      <c r="B61" s="21"/>
      <c r="C61" s="21"/>
      <c r="D61" s="21"/>
      <c r="E61" s="21"/>
      <c r="F61" s="21"/>
      <c r="G61" s="21"/>
      <c r="H61" s="21"/>
      <c r="I61" s="21"/>
      <c r="J61" s="21"/>
      <c r="K61" s="21"/>
    </row>
    <row r="62" spans="1:11">
      <c r="A62" s="21"/>
      <c r="B62" s="21"/>
      <c r="C62" s="21"/>
      <c r="D62" s="21"/>
      <c r="E62" s="21"/>
      <c r="F62" s="21"/>
      <c r="G62" s="21"/>
      <c r="H62" s="21"/>
      <c r="I62" s="21"/>
      <c r="J62" s="21"/>
      <c r="K62" s="21"/>
    </row>
    <row r="63" spans="1:11">
      <c r="A63" s="21"/>
      <c r="B63" s="21"/>
      <c r="C63" s="21"/>
      <c r="D63" s="21"/>
      <c r="E63" s="21"/>
      <c r="F63" s="21"/>
      <c r="G63" s="21"/>
      <c r="H63" s="21"/>
      <c r="I63" s="21"/>
      <c r="J63" s="21"/>
      <c r="K63" s="21"/>
    </row>
    <row r="64" spans="1:11">
      <c r="A64" s="21"/>
      <c r="B64" s="21"/>
      <c r="C64" s="21"/>
      <c r="D64" s="21"/>
      <c r="E64" s="21"/>
      <c r="F64" s="21"/>
      <c r="G64" s="21"/>
      <c r="H64" s="21"/>
      <c r="I64" s="21"/>
      <c r="J64" s="21"/>
      <c r="K64" s="21"/>
    </row>
    <row r="65" spans="1:11">
      <c r="A65" s="21"/>
      <c r="B65" s="21"/>
      <c r="C65" s="21"/>
      <c r="D65" s="21"/>
      <c r="E65" s="21"/>
      <c r="F65" s="21"/>
      <c r="G65" s="21"/>
      <c r="H65" s="21"/>
      <c r="I65" s="21"/>
      <c r="J65" s="21"/>
      <c r="K65" s="21"/>
    </row>
    <row r="66" spans="1:11">
      <c r="A66" s="21"/>
      <c r="B66" s="21"/>
      <c r="C66" s="21"/>
      <c r="D66" s="21"/>
      <c r="E66" s="21"/>
      <c r="F66" s="21"/>
      <c r="G66" s="21"/>
      <c r="H66" s="21"/>
      <c r="I66" s="21"/>
      <c r="J66" s="21"/>
      <c r="K66" s="21"/>
    </row>
    <row r="67" spans="1:11">
      <c r="A67" s="21"/>
      <c r="B67" s="21"/>
      <c r="C67" s="21"/>
      <c r="D67" s="21"/>
      <c r="E67" s="21"/>
      <c r="F67" s="21"/>
      <c r="G67" s="21"/>
      <c r="H67" s="21"/>
      <c r="I67" s="21"/>
      <c r="J67" s="21"/>
      <c r="K67" s="21"/>
    </row>
    <row r="68" spans="1:11">
      <c r="A68" s="21"/>
      <c r="B68" s="21"/>
      <c r="C68" s="21"/>
      <c r="D68" s="21"/>
      <c r="E68" s="21"/>
      <c r="F68" s="21"/>
      <c r="G68" s="21"/>
      <c r="H68" s="21"/>
      <c r="I68" s="21"/>
      <c r="J68" s="21"/>
      <c r="K68" s="21"/>
    </row>
    <row r="69" spans="1:11">
      <c r="A69" s="21"/>
      <c r="B69" s="21"/>
      <c r="C69" s="21"/>
      <c r="D69" s="21"/>
      <c r="E69" s="21"/>
      <c r="F69" s="21"/>
      <c r="G69" s="21"/>
      <c r="H69" s="21"/>
      <c r="I69" s="21"/>
      <c r="J69" s="21"/>
      <c r="K69" s="21"/>
    </row>
    <row r="70" spans="1:11">
      <c r="A70" s="21"/>
      <c r="B70" s="21"/>
      <c r="C70" s="21"/>
      <c r="D70" s="21"/>
      <c r="E70" s="21"/>
      <c r="F70" s="21"/>
      <c r="G70" s="21"/>
      <c r="H70" s="21"/>
      <c r="I70" s="21"/>
      <c r="J70" s="21"/>
      <c r="K70" s="21"/>
    </row>
    <row r="71" spans="1:11">
      <c r="A71" s="21"/>
      <c r="B71" s="21"/>
      <c r="C71" s="21"/>
      <c r="D71" s="21"/>
      <c r="E71" s="21"/>
      <c r="F71" s="21"/>
      <c r="G71" s="21"/>
      <c r="H71" s="21"/>
      <c r="I71" s="21"/>
      <c r="J71" s="21"/>
      <c r="K71" s="21"/>
    </row>
    <row r="72" spans="1:11">
      <c r="A72" s="21"/>
      <c r="B72" s="21"/>
      <c r="C72" s="21"/>
      <c r="D72" s="21"/>
      <c r="E72" s="21"/>
      <c r="F72" s="21"/>
      <c r="G72" s="21"/>
      <c r="H72" s="21"/>
      <c r="I72" s="21"/>
      <c r="J72" s="21"/>
      <c r="K72" s="21"/>
    </row>
    <row r="73" spans="1:11">
      <c r="A73" s="21"/>
      <c r="B73" s="21"/>
      <c r="C73" s="21"/>
      <c r="D73" s="21"/>
      <c r="E73" s="21"/>
      <c r="F73" s="21"/>
      <c r="G73" s="21"/>
      <c r="H73" s="21"/>
      <c r="I73" s="21"/>
      <c r="J73" s="21"/>
      <c r="K73" s="21"/>
    </row>
    <row r="74" spans="1:11">
      <c r="A74" s="21"/>
      <c r="B74" s="21"/>
      <c r="C74" s="21"/>
      <c r="D74" s="21"/>
      <c r="E74" s="21"/>
      <c r="F74" s="21"/>
      <c r="G74" s="21"/>
      <c r="H74" s="21"/>
      <c r="I74" s="21"/>
      <c r="J74" s="21"/>
      <c r="K74" s="21"/>
    </row>
    <row r="75" spans="1:11">
      <c r="A75" s="21"/>
      <c r="B75" s="21"/>
      <c r="C75" s="21"/>
      <c r="D75" s="21"/>
      <c r="E75" s="21"/>
      <c r="F75" s="21"/>
      <c r="G75" s="21"/>
      <c r="H75" s="21"/>
      <c r="I75" s="21"/>
      <c r="J75" s="21"/>
      <c r="K75" s="21"/>
    </row>
    <row r="76" spans="1:11">
      <c r="A76" s="21"/>
      <c r="B76" s="21"/>
      <c r="C76" s="21"/>
      <c r="D76" s="21"/>
      <c r="E76" s="21"/>
      <c r="F76" s="21"/>
      <c r="G76" s="21"/>
      <c r="H76" s="21"/>
      <c r="I76" s="21"/>
      <c r="J76" s="21"/>
      <c r="K76" s="21"/>
    </row>
    <row r="77" spans="1:11">
      <c r="A77" s="21"/>
      <c r="B77" s="21"/>
      <c r="C77" s="21"/>
      <c r="D77" s="21"/>
      <c r="E77" s="21"/>
      <c r="F77" s="21"/>
      <c r="G77" s="21"/>
      <c r="H77" s="21"/>
      <c r="I77" s="21"/>
      <c r="J77" s="21"/>
      <c r="K77" s="21"/>
    </row>
    <row r="78" spans="1:11">
      <c r="A78" s="21"/>
      <c r="B78" s="21"/>
      <c r="C78" s="21"/>
      <c r="D78" s="21"/>
      <c r="E78" s="21"/>
      <c r="F78" s="21"/>
      <c r="G78" s="21"/>
      <c r="H78" s="21"/>
      <c r="I78" s="21"/>
      <c r="J78" s="21"/>
      <c r="K78" s="21"/>
    </row>
    <row r="79" spans="1:11">
      <c r="A79" s="21"/>
      <c r="B79" s="21"/>
      <c r="C79" s="21"/>
      <c r="D79" s="21"/>
      <c r="E79" s="21"/>
      <c r="F79" s="21"/>
      <c r="G79" s="21"/>
      <c r="H79" s="21"/>
      <c r="I79" s="21"/>
      <c r="J79" s="21"/>
      <c r="K79" s="21"/>
    </row>
    <row r="80" spans="1:11">
      <c r="A80" s="21"/>
      <c r="B80" s="21"/>
      <c r="C80" s="21"/>
      <c r="D80" s="21"/>
      <c r="E80" s="21"/>
      <c r="F80" s="21"/>
      <c r="G80" s="21"/>
      <c r="H80" s="21"/>
      <c r="I80" s="21"/>
      <c r="J80" s="21"/>
      <c r="K80" s="21"/>
    </row>
    <row r="81" spans="1:11">
      <c r="A81" s="21"/>
      <c r="B81" s="21"/>
      <c r="C81" s="21"/>
      <c r="D81" s="21"/>
      <c r="E81" s="21"/>
      <c r="F81" s="21"/>
      <c r="G81" s="21"/>
      <c r="H81" s="21"/>
      <c r="I81" s="21"/>
      <c r="J81" s="21"/>
      <c r="K81" s="21"/>
    </row>
    <row r="82" spans="1:11">
      <c r="A82" s="21"/>
      <c r="B82" s="21"/>
      <c r="C82" s="21"/>
      <c r="D82" s="21"/>
      <c r="E82" s="21"/>
      <c r="F82" s="21"/>
      <c r="G82" s="21"/>
      <c r="H82" s="21"/>
      <c r="I82" s="21"/>
      <c r="J82" s="21"/>
      <c r="K82" s="21"/>
    </row>
    <row r="83" spans="1:11">
      <c r="A83" s="21"/>
      <c r="B83" s="21"/>
      <c r="C83" s="21"/>
      <c r="D83" s="21"/>
      <c r="E83" s="21"/>
      <c r="F83" s="21"/>
      <c r="G83" s="21"/>
      <c r="H83" s="21"/>
      <c r="I83" s="21"/>
      <c r="J83" s="21"/>
      <c r="K83" s="21"/>
    </row>
    <row r="84" spans="1:11">
      <c r="A84" s="21"/>
      <c r="B84" s="21"/>
      <c r="C84" s="21"/>
      <c r="D84" s="21"/>
      <c r="E84" s="21"/>
      <c r="F84" s="21"/>
      <c r="G84" s="21"/>
      <c r="H84" s="21"/>
      <c r="I84" s="21"/>
      <c r="J84" s="21"/>
      <c r="K84" s="21"/>
    </row>
    <row r="85" spans="1:11">
      <c r="A85" s="21"/>
      <c r="B85" s="21"/>
      <c r="C85" s="21"/>
      <c r="D85" s="21"/>
      <c r="E85" s="21"/>
      <c r="F85" s="21"/>
      <c r="G85" s="21"/>
      <c r="H85" s="21"/>
      <c r="I85" s="21"/>
      <c r="J85" s="21"/>
      <c r="K85" s="21"/>
    </row>
    <row r="86" spans="1:11">
      <c r="A86" s="21"/>
      <c r="B86" s="21"/>
      <c r="C86" s="21"/>
      <c r="D86" s="21"/>
      <c r="E86" s="21"/>
      <c r="F86" s="21"/>
      <c r="G86" s="21"/>
      <c r="H86" s="21"/>
      <c r="I86" s="21"/>
      <c r="J86" s="21"/>
      <c r="K86" s="21"/>
    </row>
    <row r="87" spans="1:11">
      <c r="A87" s="21"/>
      <c r="B87" s="21"/>
      <c r="C87" s="21"/>
      <c r="D87" s="21"/>
      <c r="E87" s="21"/>
      <c r="F87" s="21"/>
      <c r="G87" s="21"/>
      <c r="H87" s="21"/>
      <c r="I87" s="21"/>
      <c r="J87" s="21"/>
      <c r="K87" s="21"/>
    </row>
    <row r="88" spans="1:11">
      <c r="A88" s="21"/>
      <c r="B88" s="21"/>
      <c r="C88" s="21"/>
      <c r="D88" s="21"/>
      <c r="E88" s="21"/>
      <c r="F88" s="21"/>
      <c r="G88" s="21"/>
      <c r="H88" s="21"/>
      <c r="I88" s="21"/>
      <c r="J88" s="21"/>
      <c r="K88" s="21"/>
    </row>
    <row r="89" spans="1:11">
      <c r="A89" s="21"/>
      <c r="B89" s="21"/>
      <c r="C89" s="21"/>
      <c r="D89" s="21"/>
      <c r="E89" s="21"/>
      <c r="F89" s="21"/>
      <c r="G89" s="21"/>
      <c r="H89" s="21"/>
      <c r="I89" s="21"/>
      <c r="J89" s="21"/>
      <c r="K89" s="21"/>
    </row>
    <row r="90" spans="1:11">
      <c r="A90" s="21"/>
      <c r="B90" s="21"/>
      <c r="C90" s="21"/>
      <c r="D90" s="21"/>
      <c r="E90" s="21"/>
      <c r="F90" s="21"/>
      <c r="G90" s="21"/>
      <c r="H90" s="21"/>
      <c r="I90" s="21"/>
      <c r="J90" s="21"/>
      <c r="K90" s="21"/>
    </row>
    <row r="91" spans="1:11">
      <c r="A91" s="21"/>
      <c r="B91" s="21"/>
      <c r="C91" s="21"/>
      <c r="D91" s="21"/>
      <c r="E91" s="21"/>
      <c r="F91" s="21"/>
      <c r="G91" s="21"/>
      <c r="H91" s="21"/>
      <c r="I91" s="21"/>
      <c r="J91" s="21"/>
      <c r="K91" s="21"/>
    </row>
    <row r="92" spans="1:11">
      <c r="A92" s="21"/>
      <c r="B92" s="21"/>
      <c r="C92" s="21"/>
      <c r="D92" s="21"/>
      <c r="E92" s="21"/>
      <c r="F92" s="21"/>
      <c r="G92" s="21"/>
      <c r="H92" s="21"/>
      <c r="I92" s="21"/>
      <c r="J92" s="21"/>
      <c r="K92" s="21"/>
    </row>
    <row r="93" spans="1:11">
      <c r="A93" s="21"/>
      <c r="B93" s="21"/>
      <c r="C93" s="21"/>
      <c r="D93" s="21"/>
      <c r="E93" s="21"/>
      <c r="F93" s="21"/>
      <c r="G93" s="21"/>
      <c r="H93" s="21"/>
      <c r="I93" s="21"/>
      <c r="J93" s="21"/>
      <c r="K93" s="21"/>
    </row>
    <row r="94" spans="1:11">
      <c r="A94" s="21"/>
      <c r="B94" s="21"/>
      <c r="C94" s="21"/>
      <c r="D94" s="21"/>
      <c r="E94" s="21"/>
      <c r="F94" s="21"/>
      <c r="G94" s="21"/>
      <c r="H94" s="21"/>
      <c r="I94" s="21"/>
      <c r="J94" s="21"/>
      <c r="K94" s="21"/>
    </row>
  </sheetData>
  <sheetProtection formatColumns="0" formatRows="0" insertColumns="0" insertRows="0"/>
  <printOptions horizontalCentered="1"/>
  <pageMargins left="0.25" right="0.25" top="0.75" bottom="0.75" header="0.3" footer="0.3"/>
  <pageSetup orientation="portrait" r:id="rId1"/>
  <headerFooter scaleWithDoc="0">
    <oddHeader>&amp;C&amp;"-,Bold"&amp;20CoStar Sale Report - Sale Comp #4</oddHead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1665" r:id="rId4" name="Button 1">
              <controlPr defaultSize="0" print="0" autoFill="0" autoPict="0" macro="[0]!PasteImageWithBorder_ExtraPage">
                <anchor moveWithCells="1" sizeWithCells="1">
                  <from>
                    <xdr:col>12</xdr:col>
                    <xdr:colOff>312420</xdr:colOff>
                    <xdr:row>3</xdr:row>
                    <xdr:rowOff>0</xdr:rowOff>
                  </from>
                  <to>
                    <xdr:col>15</xdr:col>
                    <xdr:colOff>304800</xdr:colOff>
                    <xdr:row>6</xdr:row>
                    <xdr:rowOff>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C31E47-C66A-4618-9000-91C5E37BB5EB}">
  <sheetPr codeName="Sheet38">
    <tabColor theme="9" tint="-0.249977111117893"/>
  </sheetPr>
  <dimension ref="A1:K94"/>
  <sheetViews>
    <sheetView view="pageLayout" zoomScale="115" zoomScaleNormal="115" zoomScaleSheetLayoutView="130" zoomScalePageLayoutView="115" workbookViewId="0"/>
  </sheetViews>
  <sheetFormatPr defaultRowHeight="14.4"/>
  <cols>
    <col min="1" max="1" width="9.6640625" customWidth="1"/>
    <col min="11" max="11" width="9.6640625" customWidth="1"/>
  </cols>
  <sheetData>
    <row r="1" spans="1:11">
      <c r="A1" s="21"/>
      <c r="B1" s="21"/>
      <c r="C1" s="21"/>
      <c r="D1" s="21"/>
      <c r="E1" s="21"/>
      <c r="F1" s="21"/>
      <c r="G1" s="21"/>
      <c r="H1" s="21"/>
      <c r="I1" s="21"/>
      <c r="J1" s="21"/>
      <c r="K1" s="21"/>
    </row>
    <row r="2" spans="1:11">
      <c r="A2" s="21"/>
      <c r="B2" s="21"/>
      <c r="C2" s="21"/>
      <c r="D2" s="21"/>
      <c r="E2" s="21"/>
      <c r="F2" s="21"/>
      <c r="G2" s="21"/>
      <c r="H2" s="21"/>
      <c r="I2" s="21"/>
      <c r="J2" s="21"/>
      <c r="K2" s="21"/>
    </row>
    <row r="3" spans="1:11">
      <c r="A3" s="21"/>
      <c r="B3" s="21"/>
      <c r="C3" s="21"/>
      <c r="D3" s="21"/>
      <c r="E3" s="21"/>
      <c r="F3" s="21"/>
      <c r="G3" s="21"/>
      <c r="H3" s="21"/>
      <c r="I3" s="21"/>
      <c r="J3" s="21"/>
      <c r="K3" s="21"/>
    </row>
    <row r="4" spans="1:11">
      <c r="A4" s="21"/>
      <c r="B4" s="21"/>
      <c r="C4" s="21"/>
      <c r="D4" s="21"/>
      <c r="E4" s="21"/>
      <c r="F4" s="21"/>
      <c r="G4" s="21"/>
      <c r="H4" s="21"/>
      <c r="I4" s="21"/>
      <c r="J4" s="21"/>
      <c r="K4" s="21"/>
    </row>
    <row r="5" spans="1:11">
      <c r="A5" s="21"/>
      <c r="B5" s="21"/>
      <c r="C5" s="21"/>
      <c r="D5" s="21"/>
      <c r="E5" s="21"/>
      <c r="F5" s="21"/>
      <c r="G5" s="21"/>
      <c r="H5" s="21"/>
      <c r="I5" s="21"/>
      <c r="J5" s="21"/>
      <c r="K5" s="21"/>
    </row>
    <row r="6" spans="1:11">
      <c r="A6" s="21"/>
      <c r="B6" s="21"/>
      <c r="C6" s="21"/>
      <c r="D6" s="21"/>
      <c r="E6" s="21"/>
      <c r="F6" s="21"/>
      <c r="G6" s="21"/>
      <c r="H6" s="21"/>
      <c r="I6" s="21"/>
      <c r="J6" s="21"/>
      <c r="K6" s="21"/>
    </row>
    <row r="7" spans="1:11">
      <c r="A7" s="21"/>
      <c r="B7" s="21"/>
      <c r="C7" s="21"/>
      <c r="D7" s="21"/>
      <c r="E7" s="21"/>
      <c r="F7" s="21"/>
      <c r="G7" s="21"/>
      <c r="H7" s="21"/>
      <c r="I7" s="21"/>
      <c r="J7" s="21"/>
      <c r="K7" s="21"/>
    </row>
    <row r="8" spans="1:11">
      <c r="A8" s="21"/>
      <c r="B8" s="21"/>
      <c r="C8" s="21"/>
      <c r="D8" s="21"/>
      <c r="E8" s="21"/>
      <c r="F8" s="21"/>
      <c r="G8" s="21"/>
      <c r="H8" s="21"/>
      <c r="I8" s="21"/>
      <c r="J8" s="21"/>
      <c r="K8" s="21"/>
    </row>
    <row r="9" spans="1:11">
      <c r="A9" s="21"/>
      <c r="B9" s="21"/>
      <c r="C9" s="21"/>
      <c r="D9" s="21"/>
      <c r="E9" s="21"/>
      <c r="F9" s="21"/>
      <c r="G9" s="21"/>
      <c r="H9" s="21"/>
      <c r="I9" s="21"/>
      <c r="J9" s="21"/>
      <c r="K9" s="21"/>
    </row>
    <row r="10" spans="1:11">
      <c r="A10" s="21"/>
      <c r="B10" s="21"/>
      <c r="C10" s="21"/>
      <c r="D10" s="21"/>
      <c r="E10" s="21"/>
      <c r="F10" s="21"/>
      <c r="G10" s="21"/>
      <c r="H10" s="21"/>
      <c r="I10" s="21"/>
      <c r="J10" s="21"/>
      <c r="K10" s="21"/>
    </row>
    <row r="11" spans="1:11">
      <c r="A11" s="21"/>
      <c r="B11" s="21"/>
      <c r="C11" s="21"/>
      <c r="D11" s="21"/>
      <c r="E11" s="21"/>
      <c r="F11" s="21"/>
      <c r="G11" s="21"/>
      <c r="H11" s="21"/>
      <c r="I11" s="21"/>
      <c r="J11" s="21"/>
      <c r="K11" s="21"/>
    </row>
    <row r="12" spans="1:11">
      <c r="A12" s="21"/>
      <c r="B12" s="21"/>
      <c r="C12" s="21"/>
      <c r="D12" s="21"/>
      <c r="E12" s="21"/>
      <c r="F12" s="21"/>
      <c r="G12" s="21"/>
      <c r="H12" s="21"/>
      <c r="I12" s="21"/>
      <c r="J12" s="21"/>
      <c r="K12" s="21"/>
    </row>
    <row r="13" spans="1:11">
      <c r="A13" s="21"/>
      <c r="B13" s="21"/>
      <c r="C13" s="21"/>
      <c r="D13" s="21"/>
      <c r="E13" s="21"/>
      <c r="F13" s="21"/>
      <c r="G13" s="21"/>
      <c r="H13" s="21"/>
      <c r="I13" s="21"/>
      <c r="J13" s="21"/>
      <c r="K13" s="21"/>
    </row>
    <row r="14" spans="1:11">
      <c r="A14" s="21"/>
      <c r="B14" s="21"/>
      <c r="C14" s="21"/>
      <c r="D14" s="21"/>
      <c r="E14" s="21"/>
      <c r="F14" s="21"/>
      <c r="G14" s="21"/>
      <c r="H14" s="21"/>
      <c r="I14" s="21"/>
      <c r="J14" s="21"/>
      <c r="K14" s="21"/>
    </row>
    <row r="15" spans="1:11">
      <c r="A15" s="21"/>
      <c r="B15" s="21"/>
      <c r="C15" s="21"/>
      <c r="D15" s="21"/>
      <c r="E15" s="21"/>
      <c r="F15" s="21"/>
      <c r="G15" s="21"/>
      <c r="H15" s="21"/>
      <c r="I15" s="21"/>
      <c r="J15" s="21"/>
      <c r="K15" s="21"/>
    </row>
    <row r="16" spans="1:11">
      <c r="A16" s="21"/>
      <c r="B16" s="21"/>
      <c r="C16" s="21"/>
      <c r="D16" s="21"/>
      <c r="E16" s="21"/>
      <c r="F16" s="21"/>
      <c r="G16" s="21"/>
      <c r="H16" s="21"/>
      <c r="I16" s="21"/>
      <c r="J16" s="21"/>
      <c r="K16" s="21"/>
    </row>
    <row r="17" spans="1:11">
      <c r="A17" s="21"/>
      <c r="B17" s="21"/>
      <c r="C17" s="21"/>
      <c r="D17" s="21"/>
      <c r="E17" s="21"/>
      <c r="F17" s="21"/>
      <c r="G17" s="21"/>
      <c r="H17" s="21"/>
      <c r="I17" s="21"/>
      <c r="J17" s="21"/>
      <c r="K17" s="21"/>
    </row>
    <row r="18" spans="1:11">
      <c r="A18" s="21"/>
      <c r="B18" s="21"/>
      <c r="C18" s="21"/>
      <c r="D18" s="21"/>
      <c r="E18" s="21"/>
      <c r="F18" s="21"/>
      <c r="G18" s="21"/>
      <c r="H18" s="21"/>
      <c r="I18" s="21"/>
      <c r="J18" s="21"/>
      <c r="K18" s="21"/>
    </row>
    <row r="19" spans="1:11">
      <c r="A19" s="21"/>
      <c r="B19" s="21"/>
      <c r="C19" s="21"/>
      <c r="D19" s="21"/>
      <c r="E19" s="21"/>
      <c r="F19" s="21"/>
      <c r="G19" s="21"/>
      <c r="H19" s="21"/>
      <c r="I19" s="21"/>
      <c r="J19" s="21"/>
      <c r="K19" s="21"/>
    </row>
    <row r="20" spans="1:11">
      <c r="A20" s="21"/>
      <c r="B20" s="21"/>
      <c r="C20" s="21"/>
      <c r="D20" s="21"/>
      <c r="E20" s="21"/>
      <c r="F20" s="21"/>
      <c r="G20" s="21"/>
      <c r="H20" s="21"/>
      <c r="I20" s="21"/>
      <c r="J20" s="21"/>
      <c r="K20" s="21"/>
    </row>
    <row r="21" spans="1:11">
      <c r="A21" s="21"/>
      <c r="B21" s="21"/>
      <c r="C21" s="21"/>
      <c r="D21" s="21"/>
      <c r="E21" s="21"/>
      <c r="F21" s="21"/>
      <c r="G21" s="21"/>
      <c r="H21" s="21"/>
      <c r="I21" s="21"/>
      <c r="J21" s="21"/>
      <c r="K21" s="21"/>
    </row>
    <row r="22" spans="1:11">
      <c r="A22" s="21"/>
      <c r="B22" s="21"/>
      <c r="C22" s="21"/>
      <c r="D22" s="21"/>
      <c r="E22" s="21"/>
      <c r="F22" s="21"/>
      <c r="G22" s="21"/>
      <c r="H22" s="21"/>
      <c r="I22" s="21"/>
      <c r="J22" s="21"/>
      <c r="K22" s="21"/>
    </row>
    <row r="23" spans="1:11">
      <c r="A23" s="21"/>
      <c r="B23" s="21"/>
      <c r="C23" s="21"/>
      <c r="D23" s="21"/>
      <c r="E23" s="21"/>
      <c r="F23" s="21"/>
      <c r="G23" s="21"/>
      <c r="H23" s="21"/>
      <c r="I23" s="21"/>
      <c r="J23" s="21"/>
      <c r="K23" s="21"/>
    </row>
    <row r="24" spans="1:11">
      <c r="A24" s="21"/>
      <c r="B24" s="21"/>
      <c r="C24" s="21"/>
      <c r="D24" s="21"/>
      <c r="E24" s="21"/>
      <c r="F24" s="21"/>
      <c r="G24" s="21"/>
      <c r="H24" s="21"/>
      <c r="I24" s="21"/>
      <c r="J24" s="21"/>
      <c r="K24" s="21"/>
    </row>
    <row r="25" spans="1:11">
      <c r="A25" s="21"/>
      <c r="B25" s="21"/>
      <c r="C25" s="21"/>
      <c r="D25" s="21"/>
      <c r="E25" s="21"/>
      <c r="F25" s="21"/>
      <c r="G25" s="21"/>
      <c r="H25" s="21"/>
      <c r="I25" s="21"/>
      <c r="J25" s="21"/>
      <c r="K25" s="21"/>
    </row>
    <row r="26" spans="1:11">
      <c r="A26" s="21"/>
      <c r="B26" s="21"/>
      <c r="C26" s="21"/>
      <c r="D26" s="21"/>
      <c r="E26" s="21"/>
      <c r="F26" s="21"/>
      <c r="G26" s="21"/>
      <c r="H26" s="21"/>
      <c r="I26" s="21"/>
      <c r="J26" s="21"/>
      <c r="K26" s="21"/>
    </row>
    <row r="27" spans="1:11">
      <c r="A27" s="21"/>
      <c r="B27" s="21"/>
      <c r="C27" s="21"/>
      <c r="D27" s="21"/>
      <c r="E27" s="21"/>
      <c r="F27" s="21"/>
      <c r="G27" s="21"/>
      <c r="H27" s="21"/>
      <c r="I27" s="21"/>
      <c r="J27" s="21"/>
      <c r="K27" s="21"/>
    </row>
    <row r="28" spans="1:11">
      <c r="A28" s="21"/>
      <c r="B28" s="21"/>
      <c r="C28" s="21"/>
      <c r="D28" s="21"/>
      <c r="E28" s="21"/>
      <c r="F28" s="21"/>
      <c r="G28" s="21"/>
      <c r="H28" s="21"/>
      <c r="I28" s="21"/>
      <c r="J28" s="21"/>
      <c r="K28" s="21"/>
    </row>
    <row r="29" spans="1:11">
      <c r="A29" s="21"/>
      <c r="B29" s="21"/>
      <c r="C29" s="21"/>
      <c r="D29" s="21"/>
      <c r="E29" s="21"/>
      <c r="F29" s="21"/>
      <c r="G29" s="21"/>
      <c r="H29" s="21"/>
      <c r="I29" s="21"/>
      <c r="J29" s="21"/>
      <c r="K29" s="21"/>
    </row>
    <row r="30" spans="1:11">
      <c r="A30" s="21"/>
      <c r="B30" s="21"/>
      <c r="C30" s="21"/>
      <c r="D30" s="21"/>
      <c r="E30" s="21"/>
      <c r="F30" s="21"/>
      <c r="G30" s="21"/>
      <c r="H30" s="21"/>
      <c r="I30" s="21"/>
      <c r="J30" s="21"/>
      <c r="K30" s="21"/>
    </row>
    <row r="31" spans="1:11">
      <c r="A31" s="21"/>
      <c r="B31" s="21"/>
      <c r="C31" s="21"/>
      <c r="D31" s="21"/>
      <c r="E31" s="21"/>
      <c r="F31" s="21"/>
      <c r="G31" s="21"/>
      <c r="H31" s="21"/>
      <c r="I31" s="21"/>
      <c r="J31" s="21"/>
      <c r="K31" s="21"/>
    </row>
    <row r="32" spans="1:11">
      <c r="A32" s="21"/>
      <c r="B32" s="21"/>
      <c r="C32" s="21"/>
      <c r="D32" s="21"/>
      <c r="E32" s="21"/>
      <c r="F32" s="21"/>
      <c r="G32" s="21"/>
      <c r="H32" s="21"/>
      <c r="I32" s="21"/>
      <c r="J32" s="21"/>
      <c r="K32" s="21"/>
    </row>
    <row r="33" spans="1:11">
      <c r="A33" s="21"/>
      <c r="B33" s="21"/>
      <c r="C33" s="21"/>
      <c r="D33" s="21"/>
      <c r="E33" s="21"/>
      <c r="F33" s="21"/>
      <c r="G33" s="21"/>
      <c r="H33" s="21"/>
      <c r="I33" s="21"/>
      <c r="J33" s="21"/>
      <c r="K33" s="21"/>
    </row>
    <row r="34" spans="1:11">
      <c r="A34" s="21"/>
      <c r="B34" s="21"/>
      <c r="C34" s="21"/>
      <c r="D34" s="21"/>
      <c r="E34" s="21"/>
      <c r="F34" s="21"/>
      <c r="G34" s="21"/>
      <c r="H34" s="21"/>
      <c r="I34" s="21"/>
      <c r="J34" s="21"/>
      <c r="K34" s="21"/>
    </row>
    <row r="35" spans="1:11">
      <c r="A35" s="21"/>
      <c r="B35" s="21"/>
      <c r="C35" s="21"/>
      <c r="D35" s="21"/>
      <c r="E35" s="21"/>
      <c r="F35" s="21"/>
      <c r="G35" s="21"/>
      <c r="H35" s="21"/>
      <c r="I35" s="21"/>
      <c r="J35" s="21"/>
      <c r="K35" s="21"/>
    </row>
    <row r="36" spans="1:11">
      <c r="A36" s="21"/>
      <c r="B36" s="21"/>
      <c r="C36" s="21"/>
      <c r="D36" s="21"/>
      <c r="E36" s="21"/>
      <c r="F36" s="21"/>
      <c r="G36" s="21"/>
      <c r="H36" s="21"/>
      <c r="I36" s="21"/>
      <c r="J36" s="21"/>
      <c r="K36" s="21"/>
    </row>
    <row r="37" spans="1:11">
      <c r="A37" s="21"/>
      <c r="B37" s="21"/>
      <c r="C37" s="21"/>
      <c r="D37" s="21"/>
      <c r="E37" s="21"/>
      <c r="F37" s="21"/>
      <c r="G37" s="21"/>
      <c r="H37" s="21"/>
      <c r="I37" s="21"/>
      <c r="J37" s="21"/>
      <c r="K37" s="21"/>
    </row>
    <row r="38" spans="1:11">
      <c r="A38" s="21"/>
      <c r="B38" s="21"/>
      <c r="C38" s="21"/>
      <c r="D38" s="21"/>
      <c r="E38" s="21"/>
      <c r="F38" s="21"/>
      <c r="G38" s="21"/>
      <c r="H38" s="21"/>
      <c r="I38" s="21"/>
      <c r="J38" s="21"/>
      <c r="K38" s="21"/>
    </row>
    <row r="39" spans="1:11">
      <c r="A39" s="21"/>
      <c r="B39" s="21"/>
      <c r="C39" s="21"/>
      <c r="D39" s="21"/>
      <c r="E39" s="21"/>
      <c r="F39" s="21"/>
      <c r="G39" s="21"/>
      <c r="H39" s="21"/>
      <c r="I39" s="21"/>
      <c r="J39" s="21"/>
      <c r="K39" s="21"/>
    </row>
    <row r="40" spans="1:11">
      <c r="A40" s="21"/>
      <c r="B40" s="21"/>
      <c r="C40" s="21"/>
      <c r="D40" s="21"/>
      <c r="E40" s="21"/>
      <c r="F40" s="21"/>
      <c r="G40" s="21"/>
      <c r="H40" s="21"/>
      <c r="I40" s="21"/>
      <c r="J40" s="21"/>
      <c r="K40" s="21"/>
    </row>
    <row r="41" spans="1:11">
      <c r="A41" s="21"/>
      <c r="B41" s="21"/>
      <c r="C41" s="21"/>
      <c r="D41" s="21"/>
      <c r="E41" s="21"/>
      <c r="F41" s="21"/>
      <c r="G41" s="21"/>
      <c r="H41" s="21"/>
      <c r="I41" s="21"/>
      <c r="J41" s="21"/>
      <c r="K41" s="21"/>
    </row>
    <row r="42" spans="1:11">
      <c r="A42" s="21"/>
      <c r="B42" s="21"/>
      <c r="C42" s="21"/>
      <c r="D42" s="21"/>
      <c r="E42" s="21"/>
      <c r="F42" s="21"/>
      <c r="G42" s="21"/>
      <c r="H42" s="21"/>
      <c r="I42" s="21"/>
      <c r="J42" s="21"/>
      <c r="K42" s="21"/>
    </row>
    <row r="43" spans="1:11">
      <c r="A43" s="21"/>
      <c r="B43" s="21"/>
      <c r="C43" s="21"/>
      <c r="D43" s="21"/>
      <c r="E43" s="21"/>
      <c r="F43" s="21"/>
      <c r="G43" s="21"/>
      <c r="H43" s="21"/>
      <c r="I43" s="21"/>
      <c r="J43" s="21"/>
      <c r="K43" s="21"/>
    </row>
    <row r="44" spans="1:11">
      <c r="A44" s="21"/>
      <c r="B44" s="21"/>
      <c r="C44" s="21"/>
      <c r="D44" s="21"/>
      <c r="E44" s="21"/>
      <c r="F44" s="21"/>
      <c r="G44" s="21"/>
      <c r="H44" s="21"/>
      <c r="I44" s="21"/>
      <c r="J44" s="21"/>
      <c r="K44" s="21"/>
    </row>
    <row r="45" spans="1:11">
      <c r="A45" s="21"/>
      <c r="B45" s="21"/>
      <c r="C45" s="21"/>
      <c r="D45" s="21"/>
      <c r="E45" s="21"/>
      <c r="F45" s="21"/>
      <c r="G45" s="21"/>
      <c r="H45" s="21"/>
      <c r="I45" s="21"/>
      <c r="J45" s="21"/>
      <c r="K45" s="21"/>
    </row>
    <row r="46" spans="1:11">
      <c r="A46" s="21"/>
      <c r="B46" s="21"/>
      <c r="C46" s="21"/>
      <c r="D46" s="21"/>
      <c r="E46" s="21"/>
      <c r="F46" s="21"/>
      <c r="G46" s="21"/>
      <c r="H46" s="21"/>
      <c r="I46" s="21"/>
      <c r="J46" s="21"/>
      <c r="K46" s="21"/>
    </row>
    <row r="47" spans="1:11">
      <c r="A47" s="21"/>
      <c r="B47" s="21"/>
      <c r="C47" s="21"/>
      <c r="D47" s="21"/>
      <c r="E47" s="21"/>
      <c r="F47" s="21"/>
      <c r="G47" s="21"/>
      <c r="H47" s="21"/>
      <c r="I47" s="21"/>
      <c r="J47" s="21"/>
      <c r="K47" s="21"/>
    </row>
    <row r="48" spans="1:11">
      <c r="A48" s="21"/>
      <c r="B48" s="21"/>
      <c r="C48" s="21"/>
      <c r="D48" s="21"/>
      <c r="E48" s="21"/>
      <c r="F48" s="21"/>
      <c r="G48" s="21"/>
      <c r="H48" s="21"/>
      <c r="I48" s="21"/>
      <c r="J48" s="21"/>
      <c r="K48" s="21"/>
    </row>
    <row r="49" spans="1:11">
      <c r="A49" s="21"/>
      <c r="B49" s="21"/>
      <c r="C49" s="21"/>
      <c r="D49" s="21"/>
      <c r="E49" s="21"/>
      <c r="F49" s="21"/>
      <c r="G49" s="21"/>
      <c r="H49" s="21"/>
      <c r="I49" s="21"/>
      <c r="J49" s="21"/>
      <c r="K49" s="21"/>
    </row>
    <row r="50" spans="1:11">
      <c r="A50" s="21"/>
      <c r="B50" s="21"/>
      <c r="C50" s="21"/>
      <c r="D50" s="21"/>
      <c r="E50" s="21"/>
      <c r="F50" s="21"/>
      <c r="G50" s="21"/>
      <c r="H50" s="21"/>
      <c r="I50" s="21"/>
      <c r="J50" s="21"/>
      <c r="K50" s="21"/>
    </row>
    <row r="51" spans="1:11">
      <c r="A51" s="21"/>
      <c r="B51" s="21"/>
      <c r="C51" s="21"/>
      <c r="D51" s="21"/>
      <c r="E51" s="21"/>
      <c r="F51" s="21"/>
      <c r="G51" s="21"/>
      <c r="H51" s="21"/>
      <c r="I51" s="21"/>
      <c r="J51" s="21"/>
      <c r="K51" s="21"/>
    </row>
    <row r="52" spans="1:11">
      <c r="A52" s="21"/>
      <c r="B52" s="21"/>
      <c r="C52" s="21"/>
      <c r="D52" s="21"/>
      <c r="E52" s="21"/>
      <c r="F52" s="21"/>
      <c r="G52" s="21"/>
      <c r="H52" s="21"/>
      <c r="I52" s="21"/>
      <c r="J52" s="21"/>
      <c r="K52" s="21"/>
    </row>
    <row r="53" spans="1:11">
      <c r="A53" s="21"/>
      <c r="B53" s="21"/>
      <c r="C53" s="21"/>
      <c r="D53" s="21"/>
      <c r="E53" s="21"/>
      <c r="F53" s="21"/>
      <c r="G53" s="21"/>
      <c r="H53" s="21"/>
      <c r="I53" s="21"/>
      <c r="J53" s="21"/>
      <c r="K53" s="21"/>
    </row>
    <row r="54" spans="1:11">
      <c r="A54" s="21"/>
      <c r="B54" s="21"/>
      <c r="C54" s="21"/>
      <c r="D54" s="21"/>
      <c r="E54" s="21"/>
      <c r="F54" s="21"/>
      <c r="G54" s="21"/>
      <c r="H54" s="21"/>
      <c r="I54" s="21"/>
      <c r="J54" s="21"/>
      <c r="K54" s="21"/>
    </row>
    <row r="55" spans="1:11">
      <c r="A55" s="21"/>
      <c r="B55" s="21"/>
      <c r="C55" s="21"/>
      <c r="D55" s="21"/>
      <c r="E55" s="21"/>
      <c r="F55" s="21"/>
      <c r="G55" s="21"/>
      <c r="H55" s="21"/>
      <c r="I55" s="21"/>
      <c r="J55" s="21"/>
      <c r="K55" s="21"/>
    </row>
    <row r="56" spans="1:11">
      <c r="A56" s="21"/>
      <c r="B56" s="21"/>
      <c r="C56" s="21"/>
      <c r="D56" s="21"/>
      <c r="E56" s="21"/>
      <c r="F56" s="21"/>
      <c r="G56" s="21"/>
      <c r="H56" s="21"/>
      <c r="I56" s="21"/>
      <c r="J56" s="21"/>
      <c r="K56" s="21"/>
    </row>
    <row r="57" spans="1:11">
      <c r="A57" s="21"/>
      <c r="B57" s="21"/>
      <c r="C57" s="21"/>
      <c r="D57" s="21"/>
      <c r="E57" s="21"/>
      <c r="F57" s="21"/>
      <c r="G57" s="21"/>
      <c r="H57" s="21"/>
      <c r="I57" s="21"/>
      <c r="J57" s="21"/>
      <c r="K57" s="21"/>
    </row>
    <row r="58" spans="1:11">
      <c r="A58" s="21"/>
      <c r="B58" s="21"/>
      <c r="C58" s="21"/>
      <c r="D58" s="21"/>
      <c r="E58" s="21"/>
      <c r="F58" s="21"/>
      <c r="G58" s="21"/>
      <c r="H58" s="21"/>
      <c r="I58" s="21"/>
      <c r="J58" s="21"/>
      <c r="K58" s="21"/>
    </row>
    <row r="59" spans="1:11">
      <c r="A59" s="21"/>
      <c r="B59" s="21"/>
      <c r="C59" s="21"/>
      <c r="D59" s="21"/>
      <c r="E59" s="21"/>
      <c r="F59" s="21"/>
      <c r="G59" s="21"/>
      <c r="H59" s="21"/>
      <c r="I59" s="21"/>
      <c r="J59" s="21"/>
      <c r="K59" s="21"/>
    </row>
    <row r="60" spans="1:11">
      <c r="A60" s="21"/>
      <c r="B60" s="21"/>
      <c r="C60" s="21"/>
      <c r="D60" s="21"/>
      <c r="E60" s="21"/>
      <c r="F60" s="21"/>
      <c r="G60" s="21"/>
      <c r="H60" s="21"/>
      <c r="I60" s="21"/>
      <c r="J60" s="21"/>
      <c r="K60" s="21"/>
    </row>
    <row r="61" spans="1:11">
      <c r="A61" s="21"/>
      <c r="B61" s="21"/>
      <c r="C61" s="21"/>
      <c r="D61" s="21"/>
      <c r="E61" s="21"/>
      <c r="F61" s="21"/>
      <c r="G61" s="21"/>
      <c r="H61" s="21"/>
      <c r="I61" s="21"/>
      <c r="J61" s="21"/>
      <c r="K61" s="21"/>
    </row>
    <row r="62" spans="1:11">
      <c r="A62" s="21"/>
      <c r="B62" s="21"/>
      <c r="C62" s="21"/>
      <c r="D62" s="21"/>
      <c r="E62" s="21"/>
      <c r="F62" s="21"/>
      <c r="G62" s="21"/>
      <c r="H62" s="21"/>
      <c r="I62" s="21"/>
      <c r="J62" s="21"/>
      <c r="K62" s="21"/>
    </row>
    <row r="63" spans="1:11">
      <c r="A63" s="21"/>
      <c r="B63" s="21"/>
      <c r="C63" s="21"/>
      <c r="D63" s="21"/>
      <c r="E63" s="21"/>
      <c r="F63" s="21"/>
      <c r="G63" s="21"/>
      <c r="H63" s="21"/>
      <c r="I63" s="21"/>
      <c r="J63" s="21"/>
      <c r="K63" s="21"/>
    </row>
    <row r="64" spans="1:11">
      <c r="A64" s="21"/>
      <c r="B64" s="21"/>
      <c r="C64" s="21"/>
      <c r="D64" s="21"/>
      <c r="E64" s="21"/>
      <c r="F64" s="21"/>
      <c r="G64" s="21"/>
      <c r="H64" s="21"/>
      <c r="I64" s="21"/>
      <c r="J64" s="21"/>
      <c r="K64" s="21"/>
    </row>
    <row r="65" spans="1:11">
      <c r="A65" s="21"/>
      <c r="B65" s="21"/>
      <c r="C65" s="21"/>
      <c r="D65" s="21"/>
      <c r="E65" s="21"/>
      <c r="F65" s="21"/>
      <c r="G65" s="21"/>
      <c r="H65" s="21"/>
      <c r="I65" s="21"/>
      <c r="J65" s="21"/>
      <c r="K65" s="21"/>
    </row>
    <row r="66" spans="1:11">
      <c r="A66" s="21"/>
      <c r="B66" s="21"/>
      <c r="C66" s="21"/>
      <c r="D66" s="21"/>
      <c r="E66" s="21"/>
      <c r="F66" s="21"/>
      <c r="G66" s="21"/>
      <c r="H66" s="21"/>
      <c r="I66" s="21"/>
      <c r="J66" s="21"/>
      <c r="K66" s="21"/>
    </row>
    <row r="67" spans="1:11">
      <c r="A67" s="21"/>
      <c r="B67" s="21"/>
      <c r="C67" s="21"/>
      <c r="D67" s="21"/>
      <c r="E67" s="21"/>
      <c r="F67" s="21"/>
      <c r="G67" s="21"/>
      <c r="H67" s="21"/>
      <c r="I67" s="21"/>
      <c r="J67" s="21"/>
      <c r="K67" s="21"/>
    </row>
    <row r="68" spans="1:11">
      <c r="A68" s="21"/>
      <c r="B68" s="21"/>
      <c r="C68" s="21"/>
      <c r="D68" s="21"/>
      <c r="E68" s="21"/>
      <c r="F68" s="21"/>
      <c r="G68" s="21"/>
      <c r="H68" s="21"/>
      <c r="I68" s="21"/>
      <c r="J68" s="21"/>
      <c r="K68" s="21"/>
    </row>
    <row r="69" spans="1:11">
      <c r="A69" s="21"/>
      <c r="B69" s="21"/>
      <c r="C69" s="21"/>
      <c r="D69" s="21"/>
      <c r="E69" s="21"/>
      <c r="F69" s="21"/>
      <c r="G69" s="21"/>
      <c r="H69" s="21"/>
      <c r="I69" s="21"/>
      <c r="J69" s="21"/>
      <c r="K69" s="21"/>
    </row>
    <row r="70" spans="1:11">
      <c r="A70" s="21"/>
      <c r="B70" s="21"/>
      <c r="C70" s="21"/>
      <c r="D70" s="21"/>
      <c r="E70" s="21"/>
      <c r="F70" s="21"/>
      <c r="G70" s="21"/>
      <c r="H70" s="21"/>
      <c r="I70" s="21"/>
      <c r="J70" s="21"/>
      <c r="K70" s="21"/>
    </row>
    <row r="71" spans="1:11">
      <c r="A71" s="21"/>
      <c r="B71" s="21"/>
      <c r="C71" s="21"/>
      <c r="D71" s="21"/>
      <c r="E71" s="21"/>
      <c r="F71" s="21"/>
      <c r="G71" s="21"/>
      <c r="H71" s="21"/>
      <c r="I71" s="21"/>
      <c r="J71" s="21"/>
      <c r="K71" s="21"/>
    </row>
    <row r="72" spans="1:11">
      <c r="A72" s="21"/>
      <c r="B72" s="21"/>
      <c r="C72" s="21"/>
      <c r="D72" s="21"/>
      <c r="E72" s="21"/>
      <c r="F72" s="21"/>
      <c r="G72" s="21"/>
      <c r="H72" s="21"/>
      <c r="I72" s="21"/>
      <c r="J72" s="21"/>
      <c r="K72" s="21"/>
    </row>
    <row r="73" spans="1:11">
      <c r="A73" s="21"/>
      <c r="B73" s="21"/>
      <c r="C73" s="21"/>
      <c r="D73" s="21"/>
      <c r="E73" s="21"/>
      <c r="F73" s="21"/>
      <c r="G73" s="21"/>
      <c r="H73" s="21"/>
      <c r="I73" s="21"/>
      <c r="J73" s="21"/>
      <c r="K73" s="21"/>
    </row>
    <row r="74" spans="1:11">
      <c r="A74" s="21"/>
      <c r="B74" s="21"/>
      <c r="C74" s="21"/>
      <c r="D74" s="21"/>
      <c r="E74" s="21"/>
      <c r="F74" s="21"/>
      <c r="G74" s="21"/>
      <c r="H74" s="21"/>
      <c r="I74" s="21"/>
      <c r="J74" s="21"/>
      <c r="K74" s="21"/>
    </row>
    <row r="75" spans="1:11">
      <c r="A75" s="21"/>
      <c r="B75" s="21"/>
      <c r="C75" s="21"/>
      <c r="D75" s="21"/>
      <c r="E75" s="21"/>
      <c r="F75" s="21"/>
      <c r="G75" s="21"/>
      <c r="H75" s="21"/>
      <c r="I75" s="21"/>
      <c r="J75" s="21"/>
      <c r="K75" s="21"/>
    </row>
    <row r="76" spans="1:11">
      <c r="A76" s="21"/>
      <c r="B76" s="21"/>
      <c r="C76" s="21"/>
      <c r="D76" s="21"/>
      <c r="E76" s="21"/>
      <c r="F76" s="21"/>
      <c r="G76" s="21"/>
      <c r="H76" s="21"/>
      <c r="I76" s="21"/>
      <c r="J76" s="21"/>
      <c r="K76" s="21"/>
    </row>
    <row r="77" spans="1:11">
      <c r="A77" s="21"/>
      <c r="B77" s="21"/>
      <c r="C77" s="21"/>
      <c r="D77" s="21"/>
      <c r="E77" s="21"/>
      <c r="F77" s="21"/>
      <c r="G77" s="21"/>
      <c r="H77" s="21"/>
      <c r="I77" s="21"/>
      <c r="J77" s="21"/>
      <c r="K77" s="21"/>
    </row>
    <row r="78" spans="1:11">
      <c r="A78" s="21"/>
      <c r="B78" s="21"/>
      <c r="C78" s="21"/>
      <c r="D78" s="21"/>
      <c r="E78" s="21"/>
      <c r="F78" s="21"/>
      <c r="G78" s="21"/>
      <c r="H78" s="21"/>
      <c r="I78" s="21"/>
      <c r="J78" s="21"/>
      <c r="K78" s="21"/>
    </row>
    <row r="79" spans="1:11">
      <c r="A79" s="21"/>
      <c r="B79" s="21"/>
      <c r="C79" s="21"/>
      <c r="D79" s="21"/>
      <c r="E79" s="21"/>
      <c r="F79" s="21"/>
      <c r="G79" s="21"/>
      <c r="H79" s="21"/>
      <c r="I79" s="21"/>
      <c r="J79" s="21"/>
      <c r="K79" s="21"/>
    </row>
    <row r="80" spans="1:11">
      <c r="A80" s="21"/>
      <c r="B80" s="21"/>
      <c r="C80" s="21"/>
      <c r="D80" s="21"/>
      <c r="E80" s="21"/>
      <c r="F80" s="21"/>
      <c r="G80" s="21"/>
      <c r="H80" s="21"/>
      <c r="I80" s="21"/>
      <c r="J80" s="21"/>
      <c r="K80" s="21"/>
    </row>
    <row r="81" spans="1:11">
      <c r="A81" s="21"/>
      <c r="B81" s="21"/>
      <c r="C81" s="21"/>
      <c r="D81" s="21"/>
      <c r="E81" s="21"/>
      <c r="F81" s="21"/>
      <c r="G81" s="21"/>
      <c r="H81" s="21"/>
      <c r="I81" s="21"/>
      <c r="J81" s="21"/>
      <c r="K81" s="21"/>
    </row>
    <row r="82" spans="1:11">
      <c r="A82" s="21"/>
      <c r="B82" s="21"/>
      <c r="C82" s="21"/>
      <c r="D82" s="21"/>
      <c r="E82" s="21"/>
      <c r="F82" s="21"/>
      <c r="G82" s="21"/>
      <c r="H82" s="21"/>
      <c r="I82" s="21"/>
      <c r="J82" s="21"/>
      <c r="K82" s="21"/>
    </row>
    <row r="83" spans="1:11">
      <c r="A83" s="21"/>
      <c r="B83" s="21"/>
      <c r="C83" s="21"/>
      <c r="D83" s="21"/>
      <c r="E83" s="21"/>
      <c r="F83" s="21"/>
      <c r="G83" s="21"/>
      <c r="H83" s="21"/>
      <c r="I83" s="21"/>
      <c r="J83" s="21"/>
      <c r="K83" s="21"/>
    </row>
    <row r="84" spans="1:11">
      <c r="A84" s="21"/>
      <c r="B84" s="21"/>
      <c r="C84" s="21"/>
      <c r="D84" s="21"/>
      <c r="E84" s="21"/>
      <c r="F84" s="21"/>
      <c r="G84" s="21"/>
      <c r="H84" s="21"/>
      <c r="I84" s="21"/>
      <c r="J84" s="21"/>
      <c r="K84" s="21"/>
    </row>
    <row r="85" spans="1:11">
      <c r="A85" s="21"/>
      <c r="B85" s="21"/>
      <c r="C85" s="21"/>
      <c r="D85" s="21"/>
      <c r="E85" s="21"/>
      <c r="F85" s="21"/>
      <c r="G85" s="21"/>
      <c r="H85" s="21"/>
      <c r="I85" s="21"/>
      <c r="J85" s="21"/>
      <c r="K85" s="21"/>
    </row>
    <row r="86" spans="1:11">
      <c r="A86" s="21"/>
      <c r="B86" s="21"/>
      <c r="C86" s="21"/>
      <c r="D86" s="21"/>
      <c r="E86" s="21"/>
      <c r="F86" s="21"/>
      <c r="G86" s="21"/>
      <c r="H86" s="21"/>
      <c r="I86" s="21"/>
      <c r="J86" s="21"/>
      <c r="K86" s="21"/>
    </row>
    <row r="87" spans="1:11">
      <c r="A87" s="21"/>
      <c r="B87" s="21"/>
      <c r="C87" s="21"/>
      <c r="D87" s="21"/>
      <c r="E87" s="21"/>
      <c r="F87" s="21"/>
      <c r="G87" s="21"/>
      <c r="H87" s="21"/>
      <c r="I87" s="21"/>
      <c r="J87" s="21"/>
      <c r="K87" s="21"/>
    </row>
    <row r="88" spans="1:11">
      <c r="A88" s="21"/>
      <c r="B88" s="21"/>
      <c r="C88" s="21"/>
      <c r="D88" s="21"/>
      <c r="E88" s="21"/>
      <c r="F88" s="21"/>
      <c r="G88" s="21"/>
      <c r="H88" s="21"/>
      <c r="I88" s="21"/>
      <c r="J88" s="21"/>
      <c r="K88" s="21"/>
    </row>
    <row r="89" spans="1:11">
      <c r="A89" s="21"/>
      <c r="B89" s="21"/>
      <c r="C89" s="21"/>
      <c r="D89" s="21"/>
      <c r="E89" s="21"/>
      <c r="F89" s="21"/>
      <c r="G89" s="21"/>
      <c r="H89" s="21"/>
      <c r="I89" s="21"/>
      <c r="J89" s="21"/>
      <c r="K89" s="21"/>
    </row>
    <row r="90" spans="1:11">
      <c r="A90" s="21"/>
      <c r="B90" s="21"/>
      <c r="C90" s="21"/>
      <c r="D90" s="21"/>
      <c r="E90" s="21"/>
      <c r="F90" s="21"/>
      <c r="G90" s="21"/>
      <c r="H90" s="21"/>
      <c r="I90" s="21"/>
      <c r="J90" s="21"/>
      <c r="K90" s="21"/>
    </row>
    <row r="91" spans="1:11">
      <c r="A91" s="21"/>
      <c r="B91" s="21"/>
      <c r="C91" s="21"/>
      <c r="D91" s="21"/>
      <c r="E91" s="21"/>
      <c r="F91" s="21"/>
      <c r="G91" s="21"/>
      <c r="H91" s="21"/>
      <c r="I91" s="21"/>
      <c r="J91" s="21"/>
      <c r="K91" s="21"/>
    </row>
    <row r="92" spans="1:11">
      <c r="A92" s="21"/>
      <c r="B92" s="21"/>
      <c r="C92" s="21"/>
      <c r="D92" s="21"/>
      <c r="E92" s="21"/>
      <c r="F92" s="21"/>
      <c r="G92" s="21"/>
      <c r="H92" s="21"/>
      <c r="I92" s="21"/>
      <c r="J92" s="21"/>
      <c r="K92" s="21"/>
    </row>
    <row r="93" spans="1:11">
      <c r="A93" s="21"/>
      <c r="B93" s="21"/>
      <c r="C93" s="21"/>
      <c r="D93" s="21"/>
      <c r="E93" s="21"/>
      <c r="F93" s="21"/>
      <c r="G93" s="21"/>
      <c r="H93" s="21"/>
      <c r="I93" s="21"/>
      <c r="J93" s="21"/>
      <c r="K93" s="21"/>
    </row>
    <row r="94" spans="1:11">
      <c r="A94" s="21"/>
      <c r="B94" s="21"/>
      <c r="C94" s="21"/>
      <c r="D94" s="21"/>
      <c r="E94" s="21"/>
      <c r="F94" s="21"/>
      <c r="G94" s="21"/>
      <c r="H94" s="21"/>
      <c r="I94" s="21"/>
      <c r="J94" s="21"/>
      <c r="K94" s="21"/>
    </row>
  </sheetData>
  <sheetProtection formatColumns="0" formatRows="0" insertColumns="0" insertRows="0"/>
  <printOptions horizontalCentered="1"/>
  <pageMargins left="0.25" right="0.25" top="0.75" bottom="0.75" header="0.3" footer="0.3"/>
  <pageSetup orientation="portrait" r:id="rId1"/>
  <headerFooter scaleWithDoc="0">
    <oddHeader>&amp;C&amp;"-,Bold"&amp;20CoStar Sale Report - Sale Comp #3</oddHead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0641" r:id="rId4" name="Button 1">
              <controlPr defaultSize="0" print="0" autoFill="0" autoPict="0" macro="[0]!PasteImageWithBorder_ExtraPage">
                <anchor moveWithCells="1" sizeWithCells="1">
                  <from>
                    <xdr:col>12</xdr:col>
                    <xdr:colOff>312420</xdr:colOff>
                    <xdr:row>3</xdr:row>
                    <xdr:rowOff>0</xdr:rowOff>
                  </from>
                  <to>
                    <xdr:col>15</xdr:col>
                    <xdr:colOff>304800</xdr:colOff>
                    <xdr:row>6</xdr:row>
                    <xdr:rowOff>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EA7D4-D983-4029-A45A-BF8D581117C9}">
  <sheetPr codeName="Sheet37">
    <tabColor theme="9" tint="-0.249977111117893"/>
  </sheetPr>
  <dimension ref="A1:K94"/>
  <sheetViews>
    <sheetView view="pageLayout" zoomScale="115" zoomScaleNormal="115" zoomScaleSheetLayoutView="130" zoomScalePageLayoutView="115" workbookViewId="0"/>
  </sheetViews>
  <sheetFormatPr defaultRowHeight="14.4"/>
  <cols>
    <col min="1" max="1" width="9.6640625" customWidth="1"/>
    <col min="11" max="11" width="9.6640625" customWidth="1"/>
  </cols>
  <sheetData>
    <row r="1" spans="1:11">
      <c r="A1" s="21"/>
      <c r="B1" s="21"/>
      <c r="C1" s="21"/>
      <c r="D1" s="21"/>
      <c r="E1" s="21"/>
      <c r="F1" s="21"/>
      <c r="G1" s="21"/>
      <c r="H1" s="21"/>
      <c r="I1" s="21"/>
      <c r="J1" s="21"/>
      <c r="K1" s="21"/>
    </row>
    <row r="2" spans="1:11">
      <c r="A2" s="21"/>
      <c r="B2" s="21"/>
      <c r="C2" s="21"/>
      <c r="D2" s="21"/>
      <c r="E2" s="21"/>
      <c r="F2" s="21"/>
      <c r="G2" s="21"/>
      <c r="H2" s="21"/>
      <c r="I2" s="21"/>
      <c r="J2" s="21"/>
      <c r="K2" s="21"/>
    </row>
    <row r="3" spans="1:11">
      <c r="A3" s="21"/>
      <c r="B3" s="21"/>
      <c r="C3" s="21"/>
      <c r="D3" s="21"/>
      <c r="E3" s="21"/>
      <c r="F3" s="21"/>
      <c r="G3" s="21"/>
      <c r="H3" s="21"/>
      <c r="I3" s="21"/>
      <c r="J3" s="21"/>
      <c r="K3" s="21"/>
    </row>
    <row r="4" spans="1:11">
      <c r="A4" s="21"/>
      <c r="B4" s="21"/>
      <c r="C4" s="21"/>
      <c r="D4" s="21"/>
      <c r="E4" s="21"/>
      <c r="F4" s="21"/>
      <c r="G4" s="21"/>
      <c r="H4" s="21"/>
      <c r="I4" s="21"/>
      <c r="J4" s="21"/>
      <c r="K4" s="21"/>
    </row>
    <row r="5" spans="1:11">
      <c r="A5" s="21"/>
      <c r="B5" s="21"/>
      <c r="C5" s="21"/>
      <c r="D5" s="21"/>
      <c r="E5" s="21"/>
      <c r="F5" s="21"/>
      <c r="G5" s="21"/>
      <c r="H5" s="21"/>
      <c r="I5" s="21"/>
      <c r="J5" s="21"/>
      <c r="K5" s="21"/>
    </row>
    <row r="6" spans="1:11">
      <c r="A6" s="21"/>
      <c r="B6" s="21"/>
      <c r="C6" s="21"/>
      <c r="D6" s="21"/>
      <c r="E6" s="21"/>
      <c r="F6" s="21"/>
      <c r="G6" s="21"/>
      <c r="H6" s="21"/>
      <c r="I6" s="21"/>
      <c r="J6" s="21"/>
      <c r="K6" s="21"/>
    </row>
    <row r="7" spans="1:11">
      <c r="A7" s="21"/>
      <c r="B7" s="21"/>
      <c r="C7" s="21"/>
      <c r="D7" s="21"/>
      <c r="E7" s="21"/>
      <c r="F7" s="21"/>
      <c r="G7" s="21"/>
      <c r="H7" s="21"/>
      <c r="I7" s="21"/>
      <c r="J7" s="21"/>
      <c r="K7" s="21"/>
    </row>
    <row r="8" spans="1:11">
      <c r="A8" s="21"/>
      <c r="B8" s="21"/>
      <c r="C8" s="21"/>
      <c r="D8" s="21"/>
      <c r="E8" s="21"/>
      <c r="F8" s="21"/>
      <c r="G8" s="21"/>
      <c r="H8" s="21"/>
      <c r="I8" s="21"/>
      <c r="J8" s="21"/>
      <c r="K8" s="21"/>
    </row>
    <row r="9" spans="1:11">
      <c r="A9" s="21"/>
      <c r="B9" s="21"/>
      <c r="C9" s="21"/>
      <c r="D9" s="21"/>
      <c r="E9" s="21"/>
      <c r="F9" s="21"/>
      <c r="G9" s="21"/>
      <c r="H9" s="21"/>
      <c r="I9" s="21"/>
      <c r="J9" s="21"/>
      <c r="K9" s="21"/>
    </row>
    <row r="10" spans="1:11">
      <c r="A10" s="21"/>
      <c r="B10" s="21"/>
      <c r="C10" s="21"/>
      <c r="D10" s="21"/>
      <c r="E10" s="21"/>
      <c r="F10" s="21"/>
      <c r="G10" s="21"/>
      <c r="H10" s="21"/>
      <c r="I10" s="21"/>
      <c r="J10" s="21"/>
      <c r="K10" s="21"/>
    </row>
    <row r="11" spans="1:11">
      <c r="A11" s="21"/>
      <c r="B11" s="21"/>
      <c r="C11" s="21"/>
      <c r="D11" s="21"/>
      <c r="E11" s="21"/>
      <c r="F11" s="21"/>
      <c r="G11" s="21"/>
      <c r="H11" s="21"/>
      <c r="I11" s="21"/>
      <c r="J11" s="21"/>
      <c r="K11" s="21"/>
    </row>
    <row r="12" spans="1:11">
      <c r="A12" s="21"/>
      <c r="B12" s="21"/>
      <c r="C12" s="21"/>
      <c r="D12" s="21"/>
      <c r="E12" s="21"/>
      <c r="F12" s="21"/>
      <c r="G12" s="21"/>
      <c r="H12" s="21"/>
      <c r="I12" s="21"/>
      <c r="J12" s="21"/>
      <c r="K12" s="21"/>
    </row>
    <row r="13" spans="1:11">
      <c r="A13" s="21"/>
      <c r="B13" s="21"/>
      <c r="C13" s="21"/>
      <c r="D13" s="21"/>
      <c r="E13" s="21"/>
      <c r="F13" s="21"/>
      <c r="G13" s="21"/>
      <c r="H13" s="21"/>
      <c r="I13" s="21"/>
      <c r="J13" s="21"/>
      <c r="K13" s="21"/>
    </row>
    <row r="14" spans="1:11">
      <c r="A14" s="21"/>
      <c r="B14" s="21"/>
      <c r="C14" s="21"/>
      <c r="D14" s="21"/>
      <c r="E14" s="21"/>
      <c r="F14" s="21"/>
      <c r="G14" s="21"/>
      <c r="H14" s="21"/>
      <c r="I14" s="21"/>
      <c r="J14" s="21"/>
      <c r="K14" s="21"/>
    </row>
    <row r="15" spans="1:11">
      <c r="A15" s="21"/>
      <c r="B15" s="21"/>
      <c r="C15" s="21"/>
      <c r="D15" s="21"/>
      <c r="E15" s="21"/>
      <c r="F15" s="21"/>
      <c r="G15" s="21"/>
      <c r="H15" s="21"/>
      <c r="I15" s="21"/>
      <c r="J15" s="21"/>
      <c r="K15" s="21"/>
    </row>
    <row r="16" spans="1:11">
      <c r="A16" s="21"/>
      <c r="B16" s="21"/>
      <c r="C16" s="21"/>
      <c r="D16" s="21"/>
      <c r="E16" s="21"/>
      <c r="F16" s="21"/>
      <c r="G16" s="21"/>
      <c r="H16" s="21"/>
      <c r="I16" s="21"/>
      <c r="J16" s="21"/>
      <c r="K16" s="21"/>
    </row>
    <row r="17" spans="1:11">
      <c r="A17" s="21"/>
      <c r="B17" s="21"/>
      <c r="C17" s="21"/>
      <c r="D17" s="21"/>
      <c r="E17" s="21"/>
      <c r="F17" s="21"/>
      <c r="G17" s="21"/>
      <c r="H17" s="21"/>
      <c r="I17" s="21"/>
      <c r="J17" s="21"/>
      <c r="K17" s="21"/>
    </row>
    <row r="18" spans="1:11">
      <c r="A18" s="21"/>
      <c r="B18" s="21"/>
      <c r="C18" s="21"/>
      <c r="D18" s="21"/>
      <c r="E18" s="21"/>
      <c r="F18" s="21"/>
      <c r="G18" s="21"/>
      <c r="H18" s="21"/>
      <c r="I18" s="21"/>
      <c r="J18" s="21"/>
      <c r="K18" s="21"/>
    </row>
    <row r="19" spans="1:11">
      <c r="A19" s="21"/>
      <c r="B19" s="21"/>
      <c r="C19" s="21"/>
      <c r="D19" s="21"/>
      <c r="E19" s="21"/>
      <c r="F19" s="21"/>
      <c r="G19" s="21"/>
      <c r="H19" s="21"/>
      <c r="I19" s="21"/>
      <c r="J19" s="21"/>
      <c r="K19" s="21"/>
    </row>
    <row r="20" spans="1:11">
      <c r="A20" s="21"/>
      <c r="B20" s="21"/>
      <c r="C20" s="21"/>
      <c r="D20" s="21"/>
      <c r="E20" s="21"/>
      <c r="F20" s="21"/>
      <c r="G20" s="21"/>
      <c r="H20" s="21"/>
      <c r="I20" s="21"/>
      <c r="J20" s="21"/>
      <c r="K20" s="21"/>
    </row>
    <row r="21" spans="1:11">
      <c r="A21" s="21"/>
      <c r="B21" s="21"/>
      <c r="C21" s="21"/>
      <c r="D21" s="21"/>
      <c r="E21" s="21"/>
      <c r="F21" s="21"/>
      <c r="G21" s="21"/>
      <c r="H21" s="21"/>
      <c r="I21" s="21"/>
      <c r="J21" s="21"/>
      <c r="K21" s="21"/>
    </row>
    <row r="22" spans="1:11">
      <c r="A22" s="21"/>
      <c r="B22" s="21"/>
      <c r="C22" s="21"/>
      <c r="D22" s="21"/>
      <c r="E22" s="21"/>
      <c r="F22" s="21"/>
      <c r="G22" s="21"/>
      <c r="H22" s="21"/>
      <c r="I22" s="21"/>
      <c r="J22" s="21"/>
      <c r="K22" s="21"/>
    </row>
    <row r="23" spans="1:11">
      <c r="A23" s="21"/>
      <c r="B23" s="21"/>
      <c r="C23" s="21"/>
      <c r="D23" s="21"/>
      <c r="E23" s="21"/>
      <c r="F23" s="21"/>
      <c r="G23" s="21"/>
      <c r="H23" s="21"/>
      <c r="I23" s="21"/>
      <c r="J23" s="21"/>
      <c r="K23" s="21"/>
    </row>
    <row r="24" spans="1:11">
      <c r="A24" s="21"/>
      <c r="B24" s="21"/>
      <c r="C24" s="21"/>
      <c r="D24" s="21"/>
      <c r="E24" s="21"/>
      <c r="F24" s="21"/>
      <c r="G24" s="21"/>
      <c r="H24" s="21"/>
      <c r="I24" s="21"/>
      <c r="J24" s="21"/>
      <c r="K24" s="21"/>
    </row>
    <row r="25" spans="1:11">
      <c r="A25" s="21"/>
      <c r="B25" s="21"/>
      <c r="C25" s="21"/>
      <c r="D25" s="21"/>
      <c r="E25" s="21"/>
      <c r="F25" s="21"/>
      <c r="G25" s="21"/>
      <c r="H25" s="21"/>
      <c r="I25" s="21"/>
      <c r="J25" s="21"/>
      <c r="K25" s="21"/>
    </row>
    <row r="26" spans="1:11">
      <c r="A26" s="21"/>
      <c r="B26" s="21"/>
      <c r="C26" s="21"/>
      <c r="D26" s="21"/>
      <c r="E26" s="21"/>
      <c r="F26" s="21"/>
      <c r="G26" s="21"/>
      <c r="H26" s="21"/>
      <c r="I26" s="21"/>
      <c r="J26" s="21"/>
      <c r="K26" s="21"/>
    </row>
    <row r="27" spans="1:11">
      <c r="A27" s="21"/>
      <c r="B27" s="21"/>
      <c r="C27" s="21"/>
      <c r="D27" s="21"/>
      <c r="E27" s="21"/>
      <c r="F27" s="21"/>
      <c r="G27" s="21"/>
      <c r="H27" s="21"/>
      <c r="I27" s="21"/>
      <c r="J27" s="21"/>
      <c r="K27" s="21"/>
    </row>
    <row r="28" spans="1:11">
      <c r="A28" s="21"/>
      <c r="B28" s="21"/>
      <c r="C28" s="21"/>
      <c r="D28" s="21"/>
      <c r="E28" s="21"/>
      <c r="F28" s="21"/>
      <c r="G28" s="21"/>
      <c r="H28" s="21"/>
      <c r="I28" s="21"/>
      <c r="J28" s="21"/>
      <c r="K28" s="21"/>
    </row>
    <row r="29" spans="1:11">
      <c r="A29" s="21"/>
      <c r="B29" s="21"/>
      <c r="C29" s="21"/>
      <c r="D29" s="21"/>
      <c r="E29" s="21"/>
      <c r="F29" s="21"/>
      <c r="G29" s="21"/>
      <c r="H29" s="21"/>
      <c r="I29" s="21"/>
      <c r="J29" s="21"/>
      <c r="K29" s="21"/>
    </row>
    <row r="30" spans="1:11">
      <c r="A30" s="21"/>
      <c r="B30" s="21"/>
      <c r="C30" s="21"/>
      <c r="D30" s="21"/>
      <c r="E30" s="21"/>
      <c r="F30" s="21"/>
      <c r="G30" s="21"/>
      <c r="H30" s="21"/>
      <c r="I30" s="21"/>
      <c r="J30" s="21"/>
      <c r="K30" s="21"/>
    </row>
    <row r="31" spans="1:11">
      <c r="A31" s="21"/>
      <c r="B31" s="21"/>
      <c r="C31" s="21"/>
      <c r="D31" s="21"/>
      <c r="E31" s="21"/>
      <c r="F31" s="21"/>
      <c r="G31" s="21"/>
      <c r="H31" s="21"/>
      <c r="I31" s="21"/>
      <c r="J31" s="21"/>
      <c r="K31" s="21"/>
    </row>
    <row r="32" spans="1:11">
      <c r="A32" s="21"/>
      <c r="B32" s="21"/>
      <c r="C32" s="21"/>
      <c r="D32" s="21"/>
      <c r="E32" s="21"/>
      <c r="F32" s="21"/>
      <c r="G32" s="21"/>
      <c r="H32" s="21"/>
      <c r="I32" s="21"/>
      <c r="J32" s="21"/>
      <c r="K32" s="21"/>
    </row>
    <row r="33" spans="1:11">
      <c r="A33" s="21"/>
      <c r="B33" s="21"/>
      <c r="C33" s="21"/>
      <c r="D33" s="21"/>
      <c r="E33" s="21"/>
      <c r="F33" s="21"/>
      <c r="G33" s="21"/>
      <c r="H33" s="21"/>
      <c r="I33" s="21"/>
      <c r="J33" s="21"/>
      <c r="K33" s="21"/>
    </row>
    <row r="34" spans="1:11">
      <c r="A34" s="21"/>
      <c r="B34" s="21"/>
      <c r="C34" s="21"/>
      <c r="D34" s="21"/>
      <c r="E34" s="21"/>
      <c r="F34" s="21"/>
      <c r="G34" s="21"/>
      <c r="H34" s="21"/>
      <c r="I34" s="21"/>
      <c r="J34" s="21"/>
      <c r="K34" s="21"/>
    </row>
    <row r="35" spans="1:11">
      <c r="A35" s="21"/>
      <c r="B35" s="21"/>
      <c r="C35" s="21"/>
      <c r="D35" s="21"/>
      <c r="E35" s="21"/>
      <c r="F35" s="21"/>
      <c r="G35" s="21"/>
      <c r="H35" s="21"/>
      <c r="I35" s="21"/>
      <c r="J35" s="21"/>
      <c r="K35" s="21"/>
    </row>
    <row r="36" spans="1:11">
      <c r="A36" s="21"/>
      <c r="B36" s="21"/>
      <c r="C36" s="21"/>
      <c r="D36" s="21"/>
      <c r="E36" s="21"/>
      <c r="F36" s="21"/>
      <c r="G36" s="21"/>
      <c r="H36" s="21"/>
      <c r="I36" s="21"/>
      <c r="J36" s="21"/>
      <c r="K36" s="21"/>
    </row>
    <row r="37" spans="1:11">
      <c r="A37" s="21"/>
      <c r="B37" s="21"/>
      <c r="C37" s="21"/>
      <c r="D37" s="21"/>
      <c r="E37" s="21"/>
      <c r="F37" s="21"/>
      <c r="G37" s="21"/>
      <c r="H37" s="21"/>
      <c r="I37" s="21"/>
      <c r="J37" s="21"/>
      <c r="K37" s="21"/>
    </row>
    <row r="38" spans="1:11">
      <c r="A38" s="21"/>
      <c r="B38" s="21"/>
      <c r="C38" s="21"/>
      <c r="D38" s="21"/>
      <c r="E38" s="21"/>
      <c r="F38" s="21"/>
      <c r="G38" s="21"/>
      <c r="H38" s="21"/>
      <c r="I38" s="21"/>
      <c r="J38" s="21"/>
      <c r="K38" s="21"/>
    </row>
    <row r="39" spans="1:11">
      <c r="A39" s="21"/>
      <c r="B39" s="21"/>
      <c r="C39" s="21"/>
      <c r="D39" s="21"/>
      <c r="E39" s="21"/>
      <c r="F39" s="21"/>
      <c r="G39" s="21"/>
      <c r="H39" s="21"/>
      <c r="I39" s="21"/>
      <c r="J39" s="21"/>
      <c r="K39" s="21"/>
    </row>
    <row r="40" spans="1:11">
      <c r="A40" s="21"/>
      <c r="B40" s="21"/>
      <c r="C40" s="21"/>
      <c r="D40" s="21"/>
      <c r="E40" s="21"/>
      <c r="F40" s="21"/>
      <c r="G40" s="21"/>
      <c r="H40" s="21"/>
      <c r="I40" s="21"/>
      <c r="J40" s="21"/>
      <c r="K40" s="21"/>
    </row>
    <row r="41" spans="1:11">
      <c r="A41" s="21"/>
      <c r="B41" s="21"/>
      <c r="C41" s="21"/>
      <c r="D41" s="21"/>
      <c r="E41" s="21"/>
      <c r="F41" s="21"/>
      <c r="G41" s="21"/>
      <c r="H41" s="21"/>
      <c r="I41" s="21"/>
      <c r="J41" s="21"/>
      <c r="K41" s="21"/>
    </row>
    <row r="42" spans="1:11">
      <c r="A42" s="21"/>
      <c r="B42" s="21"/>
      <c r="C42" s="21"/>
      <c r="D42" s="21"/>
      <c r="E42" s="21"/>
      <c r="F42" s="21"/>
      <c r="G42" s="21"/>
      <c r="H42" s="21"/>
      <c r="I42" s="21"/>
      <c r="J42" s="21"/>
      <c r="K42" s="21"/>
    </row>
    <row r="43" spans="1:11">
      <c r="A43" s="21"/>
      <c r="B43" s="21"/>
      <c r="C43" s="21"/>
      <c r="D43" s="21"/>
      <c r="E43" s="21"/>
      <c r="F43" s="21"/>
      <c r="G43" s="21"/>
      <c r="H43" s="21"/>
      <c r="I43" s="21"/>
      <c r="J43" s="21"/>
      <c r="K43" s="21"/>
    </row>
    <row r="44" spans="1:11">
      <c r="A44" s="21"/>
      <c r="B44" s="21"/>
      <c r="C44" s="21"/>
      <c r="D44" s="21"/>
      <c r="E44" s="21"/>
      <c r="F44" s="21"/>
      <c r="G44" s="21"/>
      <c r="H44" s="21"/>
      <c r="I44" s="21"/>
      <c r="J44" s="21"/>
      <c r="K44" s="21"/>
    </row>
    <row r="45" spans="1:11">
      <c r="A45" s="21"/>
      <c r="B45" s="21"/>
      <c r="C45" s="21"/>
      <c r="D45" s="21"/>
      <c r="E45" s="21"/>
      <c r="F45" s="21"/>
      <c r="G45" s="21"/>
      <c r="H45" s="21"/>
      <c r="I45" s="21"/>
      <c r="J45" s="21"/>
      <c r="K45" s="21"/>
    </row>
    <row r="46" spans="1:11">
      <c r="A46" s="21"/>
      <c r="B46" s="21"/>
      <c r="C46" s="21"/>
      <c r="D46" s="21"/>
      <c r="E46" s="21"/>
      <c r="F46" s="21"/>
      <c r="G46" s="21"/>
      <c r="H46" s="21"/>
      <c r="I46" s="21"/>
      <c r="J46" s="21"/>
      <c r="K46" s="21"/>
    </row>
    <row r="47" spans="1:11">
      <c r="A47" s="21"/>
      <c r="B47" s="21"/>
      <c r="C47" s="21"/>
      <c r="D47" s="21"/>
      <c r="E47" s="21"/>
      <c r="F47" s="21"/>
      <c r="G47" s="21"/>
      <c r="H47" s="21"/>
      <c r="I47" s="21"/>
      <c r="J47" s="21"/>
      <c r="K47" s="21"/>
    </row>
    <row r="48" spans="1:11">
      <c r="A48" s="21"/>
      <c r="B48" s="21"/>
      <c r="C48" s="21"/>
      <c r="D48" s="21"/>
      <c r="E48" s="21"/>
      <c r="F48" s="21"/>
      <c r="G48" s="21"/>
      <c r="H48" s="21"/>
      <c r="I48" s="21"/>
      <c r="J48" s="21"/>
      <c r="K48" s="21"/>
    </row>
    <row r="49" spans="1:11">
      <c r="A49" s="21"/>
      <c r="B49" s="21"/>
      <c r="C49" s="21"/>
      <c r="D49" s="21"/>
      <c r="E49" s="21"/>
      <c r="F49" s="21"/>
      <c r="G49" s="21"/>
      <c r="H49" s="21"/>
      <c r="I49" s="21"/>
      <c r="J49" s="21"/>
      <c r="K49" s="21"/>
    </row>
    <row r="50" spans="1:11">
      <c r="A50" s="21"/>
      <c r="B50" s="21"/>
      <c r="C50" s="21"/>
      <c r="D50" s="21"/>
      <c r="E50" s="21"/>
      <c r="F50" s="21"/>
      <c r="G50" s="21"/>
      <c r="H50" s="21"/>
      <c r="I50" s="21"/>
      <c r="J50" s="21"/>
      <c r="K50" s="21"/>
    </row>
    <row r="51" spans="1:11">
      <c r="A51" s="21"/>
      <c r="B51" s="21"/>
      <c r="C51" s="21"/>
      <c r="D51" s="21"/>
      <c r="E51" s="21"/>
      <c r="F51" s="21"/>
      <c r="G51" s="21"/>
      <c r="H51" s="21"/>
      <c r="I51" s="21"/>
      <c r="J51" s="21"/>
      <c r="K51" s="21"/>
    </row>
    <row r="52" spans="1:11">
      <c r="A52" s="21"/>
      <c r="B52" s="21"/>
      <c r="C52" s="21"/>
      <c r="D52" s="21"/>
      <c r="E52" s="21"/>
      <c r="F52" s="21"/>
      <c r="G52" s="21"/>
      <c r="H52" s="21"/>
      <c r="I52" s="21"/>
      <c r="J52" s="21"/>
      <c r="K52" s="21"/>
    </row>
    <row r="53" spans="1:11">
      <c r="A53" s="21"/>
      <c r="B53" s="21"/>
      <c r="C53" s="21"/>
      <c r="D53" s="21"/>
      <c r="E53" s="21"/>
      <c r="F53" s="21"/>
      <c r="G53" s="21"/>
      <c r="H53" s="21"/>
      <c r="I53" s="21"/>
      <c r="J53" s="21"/>
      <c r="K53" s="21"/>
    </row>
    <row r="54" spans="1:11">
      <c r="A54" s="21"/>
      <c r="B54" s="21"/>
      <c r="C54" s="21"/>
      <c r="D54" s="21"/>
      <c r="E54" s="21"/>
      <c r="F54" s="21"/>
      <c r="G54" s="21"/>
      <c r="H54" s="21"/>
      <c r="I54" s="21"/>
      <c r="J54" s="21"/>
      <c r="K54" s="21"/>
    </row>
    <row r="55" spans="1:11">
      <c r="A55" s="21"/>
      <c r="B55" s="21"/>
      <c r="C55" s="21"/>
      <c r="D55" s="21"/>
      <c r="E55" s="21"/>
      <c r="F55" s="21"/>
      <c r="G55" s="21"/>
      <c r="H55" s="21"/>
      <c r="I55" s="21"/>
      <c r="J55" s="21"/>
      <c r="K55" s="21"/>
    </row>
    <row r="56" spans="1:11">
      <c r="A56" s="21"/>
      <c r="B56" s="21"/>
      <c r="C56" s="21"/>
      <c r="D56" s="21"/>
      <c r="E56" s="21"/>
      <c r="F56" s="21"/>
      <c r="G56" s="21"/>
      <c r="H56" s="21"/>
      <c r="I56" s="21"/>
      <c r="J56" s="21"/>
      <c r="K56" s="21"/>
    </row>
    <row r="57" spans="1:11">
      <c r="A57" s="21"/>
      <c r="B57" s="21"/>
      <c r="C57" s="21"/>
      <c r="D57" s="21"/>
      <c r="E57" s="21"/>
      <c r="F57" s="21"/>
      <c r="G57" s="21"/>
      <c r="H57" s="21"/>
      <c r="I57" s="21"/>
      <c r="J57" s="21"/>
      <c r="K57" s="21"/>
    </row>
    <row r="58" spans="1:11">
      <c r="A58" s="21"/>
      <c r="B58" s="21"/>
      <c r="C58" s="21"/>
      <c r="D58" s="21"/>
      <c r="E58" s="21"/>
      <c r="F58" s="21"/>
      <c r="G58" s="21"/>
      <c r="H58" s="21"/>
      <c r="I58" s="21"/>
      <c r="J58" s="21"/>
      <c r="K58" s="21"/>
    </row>
    <row r="59" spans="1:11">
      <c r="A59" s="21"/>
      <c r="B59" s="21"/>
      <c r="C59" s="21"/>
      <c r="D59" s="21"/>
      <c r="E59" s="21"/>
      <c r="F59" s="21"/>
      <c r="G59" s="21"/>
      <c r="H59" s="21"/>
      <c r="I59" s="21"/>
      <c r="J59" s="21"/>
      <c r="K59" s="21"/>
    </row>
    <row r="60" spans="1:11">
      <c r="A60" s="21"/>
      <c r="B60" s="21"/>
      <c r="C60" s="21"/>
      <c r="D60" s="21"/>
      <c r="E60" s="21"/>
      <c r="F60" s="21"/>
      <c r="G60" s="21"/>
      <c r="H60" s="21"/>
      <c r="I60" s="21"/>
      <c r="J60" s="21"/>
      <c r="K60" s="21"/>
    </row>
    <row r="61" spans="1:11">
      <c r="A61" s="21"/>
      <c r="B61" s="21"/>
      <c r="C61" s="21"/>
      <c r="D61" s="21"/>
      <c r="E61" s="21"/>
      <c r="F61" s="21"/>
      <c r="G61" s="21"/>
      <c r="H61" s="21"/>
      <c r="I61" s="21"/>
      <c r="J61" s="21"/>
      <c r="K61" s="21"/>
    </row>
    <row r="62" spans="1:11">
      <c r="A62" s="21"/>
      <c r="B62" s="21"/>
      <c r="C62" s="21"/>
      <c r="D62" s="21"/>
      <c r="E62" s="21"/>
      <c r="F62" s="21"/>
      <c r="G62" s="21"/>
      <c r="H62" s="21"/>
      <c r="I62" s="21"/>
      <c r="J62" s="21"/>
      <c r="K62" s="21"/>
    </row>
    <row r="63" spans="1:11">
      <c r="A63" s="21"/>
      <c r="B63" s="21"/>
      <c r="C63" s="21"/>
      <c r="D63" s="21"/>
      <c r="E63" s="21"/>
      <c r="F63" s="21"/>
      <c r="G63" s="21"/>
      <c r="H63" s="21"/>
      <c r="I63" s="21"/>
      <c r="J63" s="21"/>
      <c r="K63" s="21"/>
    </row>
    <row r="64" spans="1:11">
      <c r="A64" s="21"/>
      <c r="B64" s="21"/>
      <c r="C64" s="21"/>
      <c r="D64" s="21"/>
      <c r="E64" s="21"/>
      <c r="F64" s="21"/>
      <c r="G64" s="21"/>
      <c r="H64" s="21"/>
      <c r="I64" s="21"/>
      <c r="J64" s="21"/>
      <c r="K64" s="21"/>
    </row>
    <row r="65" spans="1:11">
      <c r="A65" s="21"/>
      <c r="B65" s="21"/>
      <c r="C65" s="21"/>
      <c r="D65" s="21"/>
      <c r="E65" s="21"/>
      <c r="F65" s="21"/>
      <c r="G65" s="21"/>
      <c r="H65" s="21"/>
      <c r="I65" s="21"/>
      <c r="J65" s="21"/>
      <c r="K65" s="21"/>
    </row>
    <row r="66" spans="1:11">
      <c r="A66" s="21"/>
      <c r="B66" s="21"/>
      <c r="C66" s="21"/>
      <c r="D66" s="21"/>
      <c r="E66" s="21"/>
      <c r="F66" s="21"/>
      <c r="G66" s="21"/>
      <c r="H66" s="21"/>
      <c r="I66" s="21"/>
      <c r="J66" s="21"/>
      <c r="K66" s="21"/>
    </row>
    <row r="67" spans="1:11">
      <c r="A67" s="21"/>
      <c r="B67" s="21"/>
      <c r="C67" s="21"/>
      <c r="D67" s="21"/>
      <c r="E67" s="21"/>
      <c r="F67" s="21"/>
      <c r="G67" s="21"/>
      <c r="H67" s="21"/>
      <c r="I67" s="21"/>
      <c r="J67" s="21"/>
      <c r="K67" s="21"/>
    </row>
    <row r="68" spans="1:11">
      <c r="A68" s="21"/>
      <c r="B68" s="21"/>
      <c r="C68" s="21"/>
      <c r="D68" s="21"/>
      <c r="E68" s="21"/>
      <c r="F68" s="21"/>
      <c r="G68" s="21"/>
      <c r="H68" s="21"/>
      <c r="I68" s="21"/>
      <c r="J68" s="21"/>
      <c r="K68" s="21"/>
    </row>
    <row r="69" spans="1:11">
      <c r="A69" s="21"/>
      <c r="B69" s="21"/>
      <c r="C69" s="21"/>
      <c r="D69" s="21"/>
      <c r="E69" s="21"/>
      <c r="F69" s="21"/>
      <c r="G69" s="21"/>
      <c r="H69" s="21"/>
      <c r="I69" s="21"/>
      <c r="J69" s="21"/>
      <c r="K69" s="21"/>
    </row>
    <row r="70" spans="1:11">
      <c r="A70" s="21"/>
      <c r="B70" s="21"/>
      <c r="C70" s="21"/>
      <c r="D70" s="21"/>
      <c r="E70" s="21"/>
      <c r="F70" s="21"/>
      <c r="G70" s="21"/>
      <c r="H70" s="21"/>
      <c r="I70" s="21"/>
      <c r="J70" s="21"/>
      <c r="K70" s="21"/>
    </row>
    <row r="71" spans="1:11">
      <c r="A71" s="21"/>
      <c r="B71" s="21"/>
      <c r="C71" s="21"/>
      <c r="D71" s="21"/>
      <c r="E71" s="21"/>
      <c r="F71" s="21"/>
      <c r="G71" s="21"/>
      <c r="H71" s="21"/>
      <c r="I71" s="21"/>
      <c r="J71" s="21"/>
      <c r="K71" s="21"/>
    </row>
    <row r="72" spans="1:11">
      <c r="A72" s="21"/>
      <c r="B72" s="21"/>
      <c r="C72" s="21"/>
      <c r="D72" s="21"/>
      <c r="E72" s="21"/>
      <c r="F72" s="21"/>
      <c r="G72" s="21"/>
      <c r="H72" s="21"/>
      <c r="I72" s="21"/>
      <c r="J72" s="21"/>
      <c r="K72" s="21"/>
    </row>
    <row r="73" spans="1:11">
      <c r="A73" s="21"/>
      <c r="B73" s="21"/>
      <c r="C73" s="21"/>
      <c r="D73" s="21"/>
      <c r="E73" s="21"/>
      <c r="F73" s="21"/>
      <c r="G73" s="21"/>
      <c r="H73" s="21"/>
      <c r="I73" s="21"/>
      <c r="J73" s="21"/>
      <c r="K73" s="21"/>
    </row>
    <row r="74" spans="1:11">
      <c r="A74" s="21"/>
      <c r="B74" s="21"/>
      <c r="C74" s="21"/>
      <c r="D74" s="21"/>
      <c r="E74" s="21"/>
      <c r="F74" s="21"/>
      <c r="G74" s="21"/>
      <c r="H74" s="21"/>
      <c r="I74" s="21"/>
      <c r="J74" s="21"/>
      <c r="K74" s="21"/>
    </row>
    <row r="75" spans="1:11">
      <c r="A75" s="21"/>
      <c r="B75" s="21"/>
      <c r="C75" s="21"/>
      <c r="D75" s="21"/>
      <c r="E75" s="21"/>
      <c r="F75" s="21"/>
      <c r="G75" s="21"/>
      <c r="H75" s="21"/>
      <c r="I75" s="21"/>
      <c r="J75" s="21"/>
      <c r="K75" s="21"/>
    </row>
    <row r="76" spans="1:11">
      <c r="A76" s="21"/>
      <c r="B76" s="21"/>
      <c r="C76" s="21"/>
      <c r="D76" s="21"/>
      <c r="E76" s="21"/>
      <c r="F76" s="21"/>
      <c r="G76" s="21"/>
      <c r="H76" s="21"/>
      <c r="I76" s="21"/>
      <c r="J76" s="21"/>
      <c r="K76" s="21"/>
    </row>
    <row r="77" spans="1:11">
      <c r="A77" s="21"/>
      <c r="B77" s="21"/>
      <c r="C77" s="21"/>
      <c r="D77" s="21"/>
      <c r="E77" s="21"/>
      <c r="F77" s="21"/>
      <c r="G77" s="21"/>
      <c r="H77" s="21"/>
      <c r="I77" s="21"/>
      <c r="J77" s="21"/>
      <c r="K77" s="21"/>
    </row>
    <row r="78" spans="1:11">
      <c r="A78" s="21"/>
      <c r="B78" s="21"/>
      <c r="C78" s="21"/>
      <c r="D78" s="21"/>
      <c r="E78" s="21"/>
      <c r="F78" s="21"/>
      <c r="G78" s="21"/>
      <c r="H78" s="21"/>
      <c r="I78" s="21"/>
      <c r="J78" s="21"/>
      <c r="K78" s="21"/>
    </row>
    <row r="79" spans="1:11">
      <c r="A79" s="21"/>
      <c r="B79" s="21"/>
      <c r="C79" s="21"/>
      <c r="D79" s="21"/>
      <c r="E79" s="21"/>
      <c r="F79" s="21"/>
      <c r="G79" s="21"/>
      <c r="H79" s="21"/>
      <c r="I79" s="21"/>
      <c r="J79" s="21"/>
      <c r="K79" s="21"/>
    </row>
    <row r="80" spans="1:11">
      <c r="A80" s="21"/>
      <c r="B80" s="21"/>
      <c r="C80" s="21"/>
      <c r="D80" s="21"/>
      <c r="E80" s="21"/>
      <c r="F80" s="21"/>
      <c r="G80" s="21"/>
      <c r="H80" s="21"/>
      <c r="I80" s="21"/>
      <c r="J80" s="21"/>
      <c r="K80" s="21"/>
    </row>
    <row r="81" spans="1:11">
      <c r="A81" s="21"/>
      <c r="B81" s="21"/>
      <c r="C81" s="21"/>
      <c r="D81" s="21"/>
      <c r="E81" s="21"/>
      <c r="F81" s="21"/>
      <c r="G81" s="21"/>
      <c r="H81" s="21"/>
      <c r="I81" s="21"/>
      <c r="J81" s="21"/>
      <c r="K81" s="21"/>
    </row>
    <row r="82" spans="1:11">
      <c r="A82" s="21"/>
      <c r="B82" s="21"/>
      <c r="C82" s="21"/>
      <c r="D82" s="21"/>
      <c r="E82" s="21"/>
      <c r="F82" s="21"/>
      <c r="G82" s="21"/>
      <c r="H82" s="21"/>
      <c r="I82" s="21"/>
      <c r="J82" s="21"/>
      <c r="K82" s="21"/>
    </row>
    <row r="83" spans="1:11">
      <c r="A83" s="21"/>
      <c r="B83" s="21"/>
      <c r="C83" s="21"/>
      <c r="D83" s="21"/>
      <c r="E83" s="21"/>
      <c r="F83" s="21"/>
      <c r="G83" s="21"/>
      <c r="H83" s="21"/>
      <c r="I83" s="21"/>
      <c r="J83" s="21"/>
      <c r="K83" s="21"/>
    </row>
    <row r="84" spans="1:11">
      <c r="A84" s="21"/>
      <c r="B84" s="21"/>
      <c r="C84" s="21"/>
      <c r="D84" s="21"/>
      <c r="E84" s="21"/>
      <c r="F84" s="21"/>
      <c r="G84" s="21"/>
      <c r="H84" s="21"/>
      <c r="I84" s="21"/>
      <c r="J84" s="21"/>
      <c r="K84" s="21"/>
    </row>
    <row r="85" spans="1:11">
      <c r="A85" s="21"/>
      <c r="B85" s="21"/>
      <c r="C85" s="21"/>
      <c r="D85" s="21"/>
      <c r="E85" s="21"/>
      <c r="F85" s="21"/>
      <c r="G85" s="21"/>
      <c r="H85" s="21"/>
      <c r="I85" s="21"/>
      <c r="J85" s="21"/>
      <c r="K85" s="21"/>
    </row>
    <row r="86" spans="1:11">
      <c r="A86" s="21"/>
      <c r="B86" s="21"/>
      <c r="C86" s="21"/>
      <c r="D86" s="21"/>
      <c r="E86" s="21"/>
      <c r="F86" s="21"/>
      <c r="G86" s="21"/>
      <c r="H86" s="21"/>
      <c r="I86" s="21"/>
      <c r="J86" s="21"/>
      <c r="K86" s="21"/>
    </row>
    <row r="87" spans="1:11">
      <c r="A87" s="21"/>
      <c r="B87" s="21"/>
      <c r="C87" s="21"/>
      <c r="D87" s="21"/>
      <c r="E87" s="21"/>
      <c r="F87" s="21"/>
      <c r="G87" s="21"/>
      <c r="H87" s="21"/>
      <c r="I87" s="21"/>
      <c r="J87" s="21"/>
      <c r="K87" s="21"/>
    </row>
    <row r="88" spans="1:11">
      <c r="A88" s="21"/>
      <c r="B88" s="21"/>
      <c r="C88" s="21"/>
      <c r="D88" s="21"/>
      <c r="E88" s="21"/>
      <c r="F88" s="21"/>
      <c r="G88" s="21"/>
      <c r="H88" s="21"/>
      <c r="I88" s="21"/>
      <c r="J88" s="21"/>
      <c r="K88" s="21"/>
    </row>
    <row r="89" spans="1:11">
      <c r="A89" s="21"/>
      <c r="B89" s="21"/>
      <c r="C89" s="21"/>
      <c r="D89" s="21"/>
      <c r="E89" s="21"/>
      <c r="F89" s="21"/>
      <c r="G89" s="21"/>
      <c r="H89" s="21"/>
      <c r="I89" s="21"/>
      <c r="J89" s="21"/>
      <c r="K89" s="21"/>
    </row>
    <row r="90" spans="1:11">
      <c r="A90" s="21"/>
      <c r="B90" s="21"/>
      <c r="C90" s="21"/>
      <c r="D90" s="21"/>
      <c r="E90" s="21"/>
      <c r="F90" s="21"/>
      <c r="G90" s="21"/>
      <c r="H90" s="21"/>
      <c r="I90" s="21"/>
      <c r="J90" s="21"/>
      <c r="K90" s="21"/>
    </row>
    <row r="91" spans="1:11">
      <c r="A91" s="21"/>
      <c r="B91" s="21"/>
      <c r="C91" s="21"/>
      <c r="D91" s="21"/>
      <c r="E91" s="21"/>
      <c r="F91" s="21"/>
      <c r="G91" s="21"/>
      <c r="H91" s="21"/>
      <c r="I91" s="21"/>
      <c r="J91" s="21"/>
      <c r="K91" s="21"/>
    </row>
    <row r="92" spans="1:11">
      <c r="A92" s="21"/>
      <c r="B92" s="21"/>
      <c r="C92" s="21"/>
      <c r="D92" s="21"/>
      <c r="E92" s="21"/>
      <c r="F92" s="21"/>
      <c r="G92" s="21"/>
      <c r="H92" s="21"/>
      <c r="I92" s="21"/>
      <c r="J92" s="21"/>
      <c r="K92" s="21"/>
    </row>
    <row r="93" spans="1:11">
      <c r="A93" s="21"/>
      <c r="B93" s="21"/>
      <c r="C93" s="21"/>
      <c r="D93" s="21"/>
      <c r="E93" s="21"/>
      <c r="F93" s="21"/>
      <c r="G93" s="21"/>
      <c r="H93" s="21"/>
      <c r="I93" s="21"/>
      <c r="J93" s="21"/>
      <c r="K93" s="21"/>
    </row>
    <row r="94" spans="1:11">
      <c r="A94" s="21"/>
      <c r="B94" s="21"/>
      <c r="C94" s="21"/>
      <c r="D94" s="21"/>
      <c r="E94" s="21"/>
      <c r="F94" s="21"/>
      <c r="G94" s="21"/>
      <c r="H94" s="21"/>
      <c r="I94" s="21"/>
      <c r="J94" s="21"/>
      <c r="K94" s="21"/>
    </row>
  </sheetData>
  <sheetProtection formatColumns="0" formatRows="0" insertColumns="0" insertRows="0"/>
  <printOptions horizontalCentered="1"/>
  <pageMargins left="0.25" right="0.25" top="0.75" bottom="0.75" header="0.3" footer="0.3"/>
  <pageSetup orientation="portrait" r:id="rId1"/>
  <headerFooter scaleWithDoc="0">
    <oddHeader>&amp;C&amp;"-,Bold"&amp;20CoStar Sale Report - Sale Comp #2</oddHead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39617" r:id="rId4" name="Button 1">
              <controlPr defaultSize="0" print="0" autoFill="0" autoPict="0" macro="[0]!PasteImageWithBorder_ExtraPage">
                <anchor moveWithCells="1" sizeWithCells="1">
                  <from>
                    <xdr:col>12</xdr:col>
                    <xdr:colOff>312420</xdr:colOff>
                    <xdr:row>3</xdr:row>
                    <xdr:rowOff>0</xdr:rowOff>
                  </from>
                  <to>
                    <xdr:col>15</xdr:col>
                    <xdr:colOff>304800</xdr:colOff>
                    <xdr:row>6</xdr:row>
                    <xdr:rowOff>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C26F02-0965-44C3-BC51-215B0487372A}">
  <sheetPr codeName="Sheet36">
    <tabColor theme="9" tint="-0.249977111117893"/>
  </sheetPr>
  <dimension ref="A1:K94"/>
  <sheetViews>
    <sheetView view="pageLayout" zoomScale="115" zoomScaleNormal="115" zoomScaleSheetLayoutView="130" zoomScalePageLayoutView="115" workbookViewId="0"/>
  </sheetViews>
  <sheetFormatPr defaultRowHeight="14.4"/>
  <cols>
    <col min="1" max="1" width="9.6640625" customWidth="1"/>
    <col min="11" max="11" width="9.6640625" customWidth="1"/>
  </cols>
  <sheetData>
    <row r="1" spans="1:11">
      <c r="A1" s="21"/>
      <c r="B1" s="21"/>
      <c r="C1" s="21"/>
      <c r="D1" s="21"/>
      <c r="E1" s="21"/>
      <c r="F1" s="21"/>
      <c r="G1" s="21"/>
      <c r="H1" s="21"/>
      <c r="I1" s="21"/>
      <c r="J1" s="21"/>
      <c r="K1" s="21"/>
    </row>
    <row r="2" spans="1:11">
      <c r="A2" s="21"/>
      <c r="B2" s="21"/>
      <c r="C2" s="21"/>
      <c r="D2" s="21"/>
      <c r="E2" s="21"/>
      <c r="F2" s="21"/>
      <c r="G2" s="21"/>
      <c r="H2" s="21"/>
      <c r="I2" s="21"/>
      <c r="J2" s="21"/>
      <c r="K2" s="21"/>
    </row>
    <row r="3" spans="1:11">
      <c r="A3" s="21"/>
      <c r="B3" s="21"/>
      <c r="C3" s="21"/>
      <c r="D3" s="21"/>
      <c r="E3" s="21"/>
      <c r="F3" s="21"/>
      <c r="G3" s="21"/>
      <c r="H3" s="21"/>
      <c r="I3" s="21"/>
      <c r="J3" s="21"/>
      <c r="K3" s="21"/>
    </row>
    <row r="4" spans="1:11">
      <c r="A4" s="21"/>
      <c r="B4" s="21"/>
      <c r="C4" s="21"/>
      <c r="D4" s="21"/>
      <c r="E4" s="21"/>
      <c r="F4" s="21"/>
      <c r="G4" s="21"/>
      <c r="H4" s="21"/>
      <c r="I4" s="21"/>
      <c r="J4" s="21"/>
      <c r="K4" s="21"/>
    </row>
    <row r="5" spans="1:11">
      <c r="A5" s="21"/>
      <c r="B5" s="21"/>
      <c r="C5" s="21"/>
      <c r="D5" s="21"/>
      <c r="E5" s="21"/>
      <c r="F5" s="21"/>
      <c r="G5" s="21"/>
      <c r="H5" s="21"/>
      <c r="I5" s="21"/>
      <c r="J5" s="21"/>
      <c r="K5" s="21"/>
    </row>
    <row r="6" spans="1:11">
      <c r="A6" s="21"/>
      <c r="B6" s="21"/>
      <c r="C6" s="21"/>
      <c r="D6" s="21"/>
      <c r="E6" s="21"/>
      <c r="F6" s="21"/>
      <c r="G6" s="21"/>
      <c r="H6" s="21"/>
      <c r="I6" s="21"/>
      <c r="J6" s="21"/>
      <c r="K6" s="21"/>
    </row>
    <row r="7" spans="1:11">
      <c r="A7" s="21"/>
      <c r="B7" s="21"/>
      <c r="C7" s="21"/>
      <c r="D7" s="21"/>
      <c r="E7" s="21"/>
      <c r="F7" s="21"/>
      <c r="G7" s="21"/>
      <c r="H7" s="21"/>
      <c r="I7" s="21"/>
      <c r="J7" s="21"/>
      <c r="K7" s="21"/>
    </row>
    <row r="8" spans="1:11">
      <c r="A8" s="21"/>
      <c r="B8" s="21"/>
      <c r="C8" s="21"/>
      <c r="D8" s="21"/>
      <c r="E8" s="21"/>
      <c r="F8" s="21"/>
      <c r="G8" s="21"/>
      <c r="H8" s="21"/>
      <c r="I8" s="21"/>
      <c r="J8" s="21"/>
      <c r="K8" s="21"/>
    </row>
    <row r="9" spans="1:11">
      <c r="A9" s="21"/>
      <c r="B9" s="21"/>
      <c r="C9" s="21"/>
      <c r="D9" s="21"/>
      <c r="E9" s="21"/>
      <c r="F9" s="21"/>
      <c r="G9" s="21"/>
      <c r="H9" s="21"/>
      <c r="I9" s="21"/>
      <c r="J9" s="21"/>
      <c r="K9" s="21"/>
    </row>
    <row r="10" spans="1:11">
      <c r="A10" s="21"/>
      <c r="B10" s="21"/>
      <c r="C10" s="21"/>
      <c r="D10" s="21"/>
      <c r="E10" s="21"/>
      <c r="F10" s="21"/>
      <c r="G10" s="21"/>
      <c r="H10" s="21"/>
      <c r="I10" s="21"/>
      <c r="J10" s="21"/>
      <c r="K10" s="21"/>
    </row>
    <row r="11" spans="1:11">
      <c r="A11" s="21"/>
      <c r="B11" s="21"/>
      <c r="C11" s="21"/>
      <c r="D11" s="21"/>
      <c r="E11" s="21"/>
      <c r="F11" s="21"/>
      <c r="G11" s="21"/>
      <c r="H11" s="21"/>
      <c r="I11" s="21"/>
      <c r="J11" s="21"/>
      <c r="K11" s="21"/>
    </row>
    <row r="12" spans="1:11">
      <c r="A12" s="21"/>
      <c r="B12" s="21"/>
      <c r="C12" s="21"/>
      <c r="D12" s="21"/>
      <c r="E12" s="21"/>
      <c r="F12" s="21"/>
      <c r="G12" s="21"/>
      <c r="H12" s="21"/>
      <c r="I12" s="21"/>
      <c r="J12" s="21"/>
      <c r="K12" s="21"/>
    </row>
    <row r="13" spans="1:11">
      <c r="A13" s="21"/>
      <c r="B13" s="21"/>
      <c r="C13" s="21"/>
      <c r="D13" s="21"/>
      <c r="E13" s="21"/>
      <c r="F13" s="21"/>
      <c r="G13" s="21"/>
      <c r="H13" s="21"/>
      <c r="I13" s="21"/>
      <c r="J13" s="21"/>
      <c r="K13" s="21"/>
    </row>
    <row r="14" spans="1:11">
      <c r="A14" s="21"/>
      <c r="B14" s="21"/>
      <c r="C14" s="21"/>
      <c r="D14" s="21"/>
      <c r="E14" s="21"/>
      <c r="F14" s="21"/>
      <c r="G14" s="21"/>
      <c r="H14" s="21"/>
      <c r="I14" s="21"/>
      <c r="J14" s="21"/>
      <c r="K14" s="21"/>
    </row>
    <row r="15" spans="1:11">
      <c r="A15" s="21"/>
      <c r="B15" s="21"/>
      <c r="C15" s="21"/>
      <c r="D15" s="21"/>
      <c r="E15" s="21"/>
      <c r="F15" s="21"/>
      <c r="G15" s="21"/>
      <c r="H15" s="21"/>
      <c r="I15" s="21"/>
      <c r="J15" s="21"/>
      <c r="K15" s="21"/>
    </row>
    <row r="16" spans="1:11">
      <c r="A16" s="21"/>
      <c r="B16" s="21"/>
      <c r="C16" s="21"/>
      <c r="D16" s="21"/>
      <c r="E16" s="21"/>
      <c r="F16" s="21"/>
      <c r="G16" s="21"/>
      <c r="H16" s="21"/>
      <c r="I16" s="21"/>
      <c r="J16" s="21"/>
      <c r="K16" s="21"/>
    </row>
    <row r="17" spans="1:11">
      <c r="A17" s="21"/>
      <c r="B17" s="21"/>
      <c r="C17" s="21"/>
      <c r="D17" s="21"/>
      <c r="E17" s="21"/>
      <c r="F17" s="21"/>
      <c r="G17" s="21"/>
      <c r="H17" s="21"/>
      <c r="I17" s="21"/>
      <c r="J17" s="21"/>
      <c r="K17" s="21"/>
    </row>
    <row r="18" spans="1:11">
      <c r="A18" s="21"/>
      <c r="B18" s="21"/>
      <c r="C18" s="21"/>
      <c r="D18" s="21"/>
      <c r="E18" s="21"/>
      <c r="F18" s="21"/>
      <c r="G18" s="21"/>
      <c r="H18" s="21"/>
      <c r="I18" s="21"/>
      <c r="J18" s="21"/>
      <c r="K18" s="21"/>
    </row>
    <row r="19" spans="1:11">
      <c r="A19" s="21"/>
      <c r="B19" s="21"/>
      <c r="C19" s="21"/>
      <c r="D19" s="21"/>
      <c r="E19" s="21"/>
      <c r="F19" s="21"/>
      <c r="G19" s="21"/>
      <c r="H19" s="21"/>
      <c r="I19" s="21"/>
      <c r="J19" s="21"/>
      <c r="K19" s="21"/>
    </row>
    <row r="20" spans="1:11">
      <c r="A20" s="21"/>
      <c r="B20" s="21"/>
      <c r="C20" s="21"/>
      <c r="D20" s="21"/>
      <c r="E20" s="21"/>
      <c r="F20" s="21"/>
      <c r="G20" s="21"/>
      <c r="H20" s="21"/>
      <c r="I20" s="21"/>
      <c r="J20" s="21"/>
      <c r="K20" s="21"/>
    </row>
    <row r="21" spans="1:11">
      <c r="A21" s="21"/>
      <c r="B21" s="21"/>
      <c r="C21" s="21"/>
      <c r="D21" s="21"/>
      <c r="E21" s="21"/>
      <c r="F21" s="21"/>
      <c r="G21" s="21"/>
      <c r="H21" s="21"/>
      <c r="I21" s="21"/>
      <c r="J21" s="21"/>
      <c r="K21" s="21"/>
    </row>
    <row r="22" spans="1:11">
      <c r="A22" s="21"/>
      <c r="B22" s="21"/>
      <c r="C22" s="21"/>
      <c r="D22" s="21"/>
      <c r="E22" s="21"/>
      <c r="F22" s="21"/>
      <c r="G22" s="21"/>
      <c r="H22" s="21"/>
      <c r="I22" s="21"/>
      <c r="J22" s="21"/>
      <c r="K22" s="21"/>
    </row>
    <row r="23" spans="1:11">
      <c r="A23" s="21"/>
      <c r="B23" s="21"/>
      <c r="C23" s="21"/>
      <c r="D23" s="21"/>
      <c r="E23" s="21"/>
      <c r="F23" s="21"/>
      <c r="G23" s="21"/>
      <c r="H23" s="21"/>
      <c r="I23" s="21"/>
      <c r="J23" s="21"/>
      <c r="K23" s="21"/>
    </row>
    <row r="24" spans="1:11">
      <c r="A24" s="21"/>
      <c r="B24" s="21"/>
      <c r="C24" s="21"/>
      <c r="D24" s="21"/>
      <c r="E24" s="21"/>
      <c r="F24" s="21"/>
      <c r="G24" s="21"/>
      <c r="H24" s="21"/>
      <c r="I24" s="21"/>
      <c r="J24" s="21"/>
      <c r="K24" s="21"/>
    </row>
    <row r="25" spans="1:11">
      <c r="A25" s="21"/>
      <c r="B25" s="21"/>
      <c r="C25" s="21"/>
      <c r="D25" s="21"/>
      <c r="E25" s="21"/>
      <c r="F25" s="21"/>
      <c r="G25" s="21"/>
      <c r="H25" s="21"/>
      <c r="I25" s="21"/>
      <c r="J25" s="21"/>
      <c r="K25" s="21"/>
    </row>
    <row r="26" spans="1:11">
      <c r="A26" s="21"/>
      <c r="B26" s="21"/>
      <c r="C26" s="21"/>
      <c r="D26" s="21"/>
      <c r="E26" s="21"/>
      <c r="F26" s="21"/>
      <c r="G26" s="21"/>
      <c r="H26" s="21"/>
      <c r="I26" s="21"/>
      <c r="J26" s="21"/>
      <c r="K26" s="21"/>
    </row>
    <row r="27" spans="1:11">
      <c r="A27" s="21"/>
      <c r="B27" s="21"/>
      <c r="C27" s="21"/>
      <c r="D27" s="21"/>
      <c r="E27" s="21"/>
      <c r="F27" s="21"/>
      <c r="G27" s="21"/>
      <c r="H27" s="21"/>
      <c r="I27" s="21"/>
      <c r="J27" s="21"/>
      <c r="K27" s="21"/>
    </row>
    <row r="28" spans="1:11">
      <c r="A28" s="21"/>
      <c r="B28" s="21"/>
      <c r="C28" s="21"/>
      <c r="D28" s="21"/>
      <c r="E28" s="21"/>
      <c r="F28" s="21"/>
      <c r="G28" s="21"/>
      <c r="H28" s="21"/>
      <c r="I28" s="21"/>
      <c r="J28" s="21"/>
      <c r="K28" s="21"/>
    </row>
    <row r="29" spans="1:11">
      <c r="A29" s="21"/>
      <c r="B29" s="21"/>
      <c r="C29" s="21"/>
      <c r="D29" s="21"/>
      <c r="E29" s="21"/>
      <c r="F29" s="21"/>
      <c r="G29" s="21"/>
      <c r="H29" s="21"/>
      <c r="I29" s="21"/>
      <c r="J29" s="21"/>
      <c r="K29" s="21"/>
    </row>
    <row r="30" spans="1:11">
      <c r="A30" s="21"/>
      <c r="B30" s="21"/>
      <c r="C30" s="21"/>
      <c r="D30" s="21"/>
      <c r="E30" s="21"/>
      <c r="F30" s="21"/>
      <c r="G30" s="21"/>
      <c r="H30" s="21"/>
      <c r="I30" s="21"/>
      <c r="J30" s="21"/>
      <c r="K30" s="21"/>
    </row>
    <row r="31" spans="1:11">
      <c r="A31" s="21"/>
      <c r="B31" s="21"/>
      <c r="C31" s="21"/>
      <c r="D31" s="21"/>
      <c r="E31" s="21"/>
      <c r="F31" s="21"/>
      <c r="G31" s="21"/>
      <c r="H31" s="21"/>
      <c r="I31" s="21"/>
      <c r="J31" s="21"/>
      <c r="K31" s="21"/>
    </row>
    <row r="32" spans="1:11">
      <c r="A32" s="21"/>
      <c r="B32" s="21"/>
      <c r="C32" s="21"/>
      <c r="D32" s="21"/>
      <c r="E32" s="21"/>
      <c r="F32" s="21"/>
      <c r="G32" s="21"/>
      <c r="H32" s="21"/>
      <c r="I32" s="21"/>
      <c r="J32" s="21"/>
      <c r="K32" s="21"/>
    </row>
    <row r="33" spans="1:11">
      <c r="A33" s="21"/>
      <c r="B33" s="21"/>
      <c r="C33" s="21"/>
      <c r="D33" s="21"/>
      <c r="E33" s="21"/>
      <c r="F33" s="21"/>
      <c r="G33" s="21"/>
      <c r="H33" s="21"/>
      <c r="I33" s="21"/>
      <c r="J33" s="21"/>
      <c r="K33" s="21"/>
    </row>
    <row r="34" spans="1:11">
      <c r="A34" s="21"/>
      <c r="B34" s="21"/>
      <c r="C34" s="21"/>
      <c r="D34" s="21"/>
      <c r="E34" s="21"/>
      <c r="F34" s="21"/>
      <c r="G34" s="21"/>
      <c r="H34" s="21"/>
      <c r="I34" s="21"/>
      <c r="J34" s="21"/>
      <c r="K34" s="21"/>
    </row>
    <row r="35" spans="1:11">
      <c r="A35" s="21"/>
      <c r="B35" s="21"/>
      <c r="C35" s="21"/>
      <c r="D35" s="21"/>
      <c r="E35" s="21"/>
      <c r="F35" s="21"/>
      <c r="G35" s="21"/>
      <c r="H35" s="21"/>
      <c r="I35" s="21"/>
      <c r="J35" s="21"/>
      <c r="K35" s="21"/>
    </row>
    <row r="36" spans="1:11">
      <c r="A36" s="21"/>
      <c r="B36" s="21"/>
      <c r="C36" s="21"/>
      <c r="D36" s="21"/>
      <c r="E36" s="21"/>
      <c r="F36" s="21"/>
      <c r="G36" s="21"/>
      <c r="H36" s="21"/>
      <c r="I36" s="21"/>
      <c r="J36" s="21"/>
      <c r="K36" s="21"/>
    </row>
    <row r="37" spans="1:11">
      <c r="A37" s="21"/>
      <c r="B37" s="21"/>
      <c r="C37" s="21"/>
      <c r="D37" s="21"/>
      <c r="E37" s="21"/>
      <c r="F37" s="21"/>
      <c r="G37" s="21"/>
      <c r="H37" s="21"/>
      <c r="I37" s="21"/>
      <c r="J37" s="21"/>
      <c r="K37" s="21"/>
    </row>
    <row r="38" spans="1:11">
      <c r="A38" s="21"/>
      <c r="B38" s="21"/>
      <c r="C38" s="21"/>
      <c r="D38" s="21"/>
      <c r="E38" s="21"/>
      <c r="F38" s="21"/>
      <c r="G38" s="21"/>
      <c r="H38" s="21"/>
      <c r="I38" s="21"/>
      <c r="J38" s="21"/>
      <c r="K38" s="21"/>
    </row>
    <row r="39" spans="1:11">
      <c r="A39" s="21"/>
      <c r="B39" s="21"/>
      <c r="C39" s="21"/>
      <c r="D39" s="21"/>
      <c r="E39" s="21"/>
      <c r="F39" s="21"/>
      <c r="G39" s="21"/>
      <c r="H39" s="21"/>
      <c r="I39" s="21"/>
      <c r="J39" s="21"/>
      <c r="K39" s="21"/>
    </row>
    <row r="40" spans="1:11">
      <c r="A40" s="21"/>
      <c r="B40" s="21"/>
      <c r="C40" s="21"/>
      <c r="D40" s="21"/>
      <c r="E40" s="21"/>
      <c r="F40" s="21"/>
      <c r="G40" s="21"/>
      <c r="H40" s="21"/>
      <c r="I40" s="21"/>
      <c r="J40" s="21"/>
      <c r="K40" s="21"/>
    </row>
    <row r="41" spans="1:11">
      <c r="A41" s="21"/>
      <c r="B41" s="21"/>
      <c r="C41" s="21"/>
      <c r="D41" s="21"/>
      <c r="E41" s="21"/>
      <c r="F41" s="21"/>
      <c r="G41" s="21"/>
      <c r="H41" s="21"/>
      <c r="I41" s="21"/>
      <c r="J41" s="21"/>
      <c r="K41" s="21"/>
    </row>
    <row r="42" spans="1:11">
      <c r="A42" s="21"/>
      <c r="B42" s="21"/>
      <c r="C42" s="21"/>
      <c r="D42" s="21"/>
      <c r="E42" s="21"/>
      <c r="F42" s="21"/>
      <c r="G42" s="21"/>
      <c r="H42" s="21"/>
      <c r="I42" s="21"/>
      <c r="J42" s="21"/>
      <c r="K42" s="21"/>
    </row>
    <row r="43" spans="1:11">
      <c r="A43" s="21"/>
      <c r="B43" s="21"/>
      <c r="C43" s="21"/>
      <c r="D43" s="21"/>
      <c r="E43" s="21"/>
      <c r="F43" s="21"/>
      <c r="G43" s="21"/>
      <c r="H43" s="21"/>
      <c r="I43" s="21"/>
      <c r="J43" s="21"/>
      <c r="K43" s="21"/>
    </row>
    <row r="44" spans="1:11">
      <c r="A44" s="21"/>
      <c r="B44" s="21"/>
      <c r="C44" s="21"/>
      <c r="D44" s="21"/>
      <c r="E44" s="21"/>
      <c r="F44" s="21"/>
      <c r="G44" s="21"/>
      <c r="H44" s="21"/>
      <c r="I44" s="21"/>
      <c r="J44" s="21"/>
      <c r="K44" s="21"/>
    </row>
    <row r="45" spans="1:11">
      <c r="A45" s="21"/>
      <c r="B45" s="21"/>
      <c r="C45" s="21"/>
      <c r="D45" s="21"/>
      <c r="E45" s="21"/>
      <c r="F45" s="21"/>
      <c r="G45" s="21"/>
      <c r="H45" s="21"/>
      <c r="I45" s="21"/>
      <c r="J45" s="21"/>
      <c r="K45" s="21"/>
    </row>
    <row r="46" spans="1:11">
      <c r="A46" s="21"/>
      <c r="B46" s="21"/>
      <c r="C46" s="21"/>
      <c r="D46" s="21"/>
      <c r="E46" s="21"/>
      <c r="F46" s="21"/>
      <c r="G46" s="21"/>
      <c r="H46" s="21"/>
      <c r="I46" s="21"/>
      <c r="J46" s="21"/>
      <c r="K46" s="21"/>
    </row>
    <row r="47" spans="1:11">
      <c r="A47" s="21"/>
      <c r="B47" s="21"/>
      <c r="C47" s="21"/>
      <c r="D47" s="21"/>
      <c r="E47" s="21"/>
      <c r="F47" s="21"/>
      <c r="G47" s="21"/>
      <c r="H47" s="21"/>
      <c r="I47" s="21"/>
      <c r="J47" s="21"/>
      <c r="K47" s="21"/>
    </row>
    <row r="48" spans="1:11">
      <c r="A48" s="21"/>
      <c r="B48" s="21"/>
      <c r="C48" s="21"/>
      <c r="D48" s="21"/>
      <c r="E48" s="21"/>
      <c r="F48" s="21"/>
      <c r="G48" s="21"/>
      <c r="H48" s="21"/>
      <c r="I48" s="21"/>
      <c r="J48" s="21"/>
      <c r="K48" s="21"/>
    </row>
    <row r="49" spans="1:11">
      <c r="A49" s="21"/>
      <c r="B49" s="21"/>
      <c r="C49" s="21"/>
      <c r="D49" s="21"/>
      <c r="E49" s="21"/>
      <c r="F49" s="21"/>
      <c r="G49" s="21"/>
      <c r="H49" s="21"/>
      <c r="I49" s="21"/>
      <c r="J49" s="21"/>
      <c r="K49" s="21"/>
    </row>
    <row r="50" spans="1:11">
      <c r="A50" s="21"/>
      <c r="B50" s="21"/>
      <c r="C50" s="21"/>
      <c r="D50" s="21"/>
      <c r="E50" s="21"/>
      <c r="F50" s="21"/>
      <c r="G50" s="21"/>
      <c r="H50" s="21"/>
      <c r="I50" s="21"/>
      <c r="J50" s="21"/>
      <c r="K50" s="21"/>
    </row>
    <row r="51" spans="1:11">
      <c r="A51" s="21"/>
      <c r="B51" s="21"/>
      <c r="C51" s="21"/>
      <c r="D51" s="21"/>
      <c r="E51" s="21"/>
      <c r="F51" s="21"/>
      <c r="G51" s="21"/>
      <c r="H51" s="21"/>
      <c r="I51" s="21"/>
      <c r="J51" s="21"/>
      <c r="K51" s="21"/>
    </row>
    <row r="52" spans="1:11">
      <c r="A52" s="21"/>
      <c r="B52" s="21"/>
      <c r="C52" s="21"/>
      <c r="D52" s="21"/>
      <c r="E52" s="21"/>
      <c r="F52" s="21"/>
      <c r="G52" s="21"/>
      <c r="H52" s="21"/>
      <c r="I52" s="21"/>
      <c r="J52" s="21"/>
      <c r="K52" s="21"/>
    </row>
    <row r="53" spans="1:11">
      <c r="A53" s="21"/>
      <c r="B53" s="21"/>
      <c r="C53" s="21"/>
      <c r="D53" s="21"/>
      <c r="E53" s="21"/>
      <c r="F53" s="21"/>
      <c r="G53" s="21"/>
      <c r="H53" s="21"/>
      <c r="I53" s="21"/>
      <c r="J53" s="21"/>
      <c r="K53" s="21"/>
    </row>
    <row r="54" spans="1:11">
      <c r="A54" s="21"/>
      <c r="B54" s="21"/>
      <c r="C54" s="21"/>
      <c r="D54" s="21"/>
      <c r="E54" s="21"/>
      <c r="F54" s="21"/>
      <c r="G54" s="21"/>
      <c r="H54" s="21"/>
      <c r="I54" s="21"/>
      <c r="J54" s="21"/>
      <c r="K54" s="21"/>
    </row>
    <row r="55" spans="1:11">
      <c r="A55" s="21"/>
      <c r="B55" s="21"/>
      <c r="C55" s="21"/>
      <c r="D55" s="21"/>
      <c r="E55" s="21"/>
      <c r="F55" s="21"/>
      <c r="G55" s="21"/>
      <c r="H55" s="21"/>
      <c r="I55" s="21"/>
      <c r="J55" s="21"/>
      <c r="K55" s="21"/>
    </row>
    <row r="56" spans="1:11">
      <c r="A56" s="21"/>
      <c r="B56" s="21"/>
      <c r="C56" s="21"/>
      <c r="D56" s="21"/>
      <c r="E56" s="21"/>
      <c r="F56" s="21"/>
      <c r="G56" s="21"/>
      <c r="H56" s="21"/>
      <c r="I56" s="21"/>
      <c r="J56" s="21"/>
      <c r="K56" s="21"/>
    </row>
    <row r="57" spans="1:11">
      <c r="A57" s="21"/>
      <c r="B57" s="21"/>
      <c r="C57" s="21"/>
      <c r="D57" s="21"/>
      <c r="E57" s="21"/>
      <c r="F57" s="21"/>
      <c r="G57" s="21"/>
      <c r="H57" s="21"/>
      <c r="I57" s="21"/>
      <c r="J57" s="21"/>
      <c r="K57" s="21"/>
    </row>
    <row r="58" spans="1:11">
      <c r="A58" s="21"/>
      <c r="B58" s="21"/>
      <c r="C58" s="21"/>
      <c r="D58" s="21"/>
      <c r="E58" s="21"/>
      <c r="F58" s="21"/>
      <c r="G58" s="21"/>
      <c r="H58" s="21"/>
      <c r="I58" s="21"/>
      <c r="J58" s="21"/>
      <c r="K58" s="21"/>
    </row>
    <row r="59" spans="1:11">
      <c r="A59" s="21"/>
      <c r="B59" s="21"/>
      <c r="C59" s="21"/>
      <c r="D59" s="21"/>
      <c r="E59" s="21"/>
      <c r="F59" s="21"/>
      <c r="G59" s="21"/>
      <c r="H59" s="21"/>
      <c r="I59" s="21"/>
      <c r="J59" s="21"/>
      <c r="K59" s="21"/>
    </row>
    <row r="60" spans="1:11">
      <c r="A60" s="21"/>
      <c r="B60" s="21"/>
      <c r="C60" s="21"/>
      <c r="D60" s="21"/>
      <c r="E60" s="21"/>
      <c r="F60" s="21"/>
      <c r="G60" s="21"/>
      <c r="H60" s="21"/>
      <c r="I60" s="21"/>
      <c r="J60" s="21"/>
      <c r="K60" s="21"/>
    </row>
    <row r="61" spans="1:11">
      <c r="A61" s="21"/>
      <c r="B61" s="21"/>
      <c r="C61" s="21"/>
      <c r="D61" s="21"/>
      <c r="E61" s="21"/>
      <c r="F61" s="21"/>
      <c r="G61" s="21"/>
      <c r="H61" s="21"/>
      <c r="I61" s="21"/>
      <c r="J61" s="21"/>
      <c r="K61" s="21"/>
    </row>
    <row r="62" spans="1:11">
      <c r="A62" s="21"/>
      <c r="B62" s="21"/>
      <c r="C62" s="21"/>
      <c r="D62" s="21"/>
      <c r="E62" s="21"/>
      <c r="F62" s="21"/>
      <c r="G62" s="21"/>
      <c r="H62" s="21"/>
      <c r="I62" s="21"/>
      <c r="J62" s="21"/>
      <c r="K62" s="21"/>
    </row>
    <row r="63" spans="1:11">
      <c r="A63" s="21"/>
      <c r="B63" s="21"/>
      <c r="C63" s="21"/>
      <c r="D63" s="21"/>
      <c r="E63" s="21"/>
      <c r="F63" s="21"/>
      <c r="G63" s="21"/>
      <c r="H63" s="21"/>
      <c r="I63" s="21"/>
      <c r="J63" s="21"/>
      <c r="K63" s="21"/>
    </row>
    <row r="64" spans="1:11">
      <c r="A64" s="21"/>
      <c r="B64" s="21"/>
      <c r="C64" s="21"/>
      <c r="D64" s="21"/>
      <c r="E64" s="21"/>
      <c r="F64" s="21"/>
      <c r="G64" s="21"/>
      <c r="H64" s="21"/>
      <c r="I64" s="21"/>
      <c r="J64" s="21"/>
      <c r="K64" s="21"/>
    </row>
    <row r="65" spans="1:11">
      <c r="A65" s="21"/>
      <c r="B65" s="21"/>
      <c r="C65" s="21"/>
      <c r="D65" s="21"/>
      <c r="E65" s="21"/>
      <c r="F65" s="21"/>
      <c r="G65" s="21"/>
      <c r="H65" s="21"/>
      <c r="I65" s="21"/>
      <c r="J65" s="21"/>
      <c r="K65" s="21"/>
    </row>
    <row r="66" spans="1:11">
      <c r="A66" s="21"/>
      <c r="B66" s="21"/>
      <c r="C66" s="21"/>
      <c r="D66" s="21"/>
      <c r="E66" s="21"/>
      <c r="F66" s="21"/>
      <c r="G66" s="21"/>
      <c r="H66" s="21"/>
      <c r="I66" s="21"/>
      <c r="J66" s="21"/>
      <c r="K66" s="21"/>
    </row>
    <row r="67" spans="1:11">
      <c r="A67" s="21"/>
      <c r="B67" s="21"/>
      <c r="C67" s="21"/>
      <c r="D67" s="21"/>
      <c r="E67" s="21"/>
      <c r="F67" s="21"/>
      <c r="G67" s="21"/>
      <c r="H67" s="21"/>
      <c r="I67" s="21"/>
      <c r="J67" s="21"/>
      <c r="K67" s="21"/>
    </row>
    <row r="68" spans="1:11">
      <c r="A68" s="21"/>
      <c r="B68" s="21"/>
      <c r="C68" s="21"/>
      <c r="D68" s="21"/>
      <c r="E68" s="21"/>
      <c r="F68" s="21"/>
      <c r="G68" s="21"/>
      <c r="H68" s="21"/>
      <c r="I68" s="21"/>
      <c r="J68" s="21"/>
      <c r="K68" s="21"/>
    </row>
    <row r="69" spans="1:11">
      <c r="A69" s="21"/>
      <c r="B69" s="21"/>
      <c r="C69" s="21"/>
      <c r="D69" s="21"/>
      <c r="E69" s="21"/>
      <c r="F69" s="21"/>
      <c r="G69" s="21"/>
      <c r="H69" s="21"/>
      <c r="I69" s="21"/>
      <c r="J69" s="21"/>
      <c r="K69" s="21"/>
    </row>
    <row r="70" spans="1:11">
      <c r="A70" s="21"/>
      <c r="B70" s="21"/>
      <c r="C70" s="21"/>
      <c r="D70" s="21"/>
      <c r="E70" s="21"/>
      <c r="F70" s="21"/>
      <c r="G70" s="21"/>
      <c r="H70" s="21"/>
      <c r="I70" s="21"/>
      <c r="J70" s="21"/>
      <c r="K70" s="21"/>
    </row>
    <row r="71" spans="1:11">
      <c r="A71" s="21"/>
      <c r="B71" s="21"/>
      <c r="C71" s="21"/>
      <c r="D71" s="21"/>
      <c r="E71" s="21"/>
      <c r="F71" s="21"/>
      <c r="G71" s="21"/>
      <c r="H71" s="21"/>
      <c r="I71" s="21"/>
      <c r="J71" s="21"/>
      <c r="K71" s="21"/>
    </row>
    <row r="72" spans="1:11">
      <c r="A72" s="21"/>
      <c r="B72" s="21"/>
      <c r="C72" s="21"/>
      <c r="D72" s="21"/>
      <c r="E72" s="21"/>
      <c r="F72" s="21"/>
      <c r="G72" s="21"/>
      <c r="H72" s="21"/>
      <c r="I72" s="21"/>
      <c r="J72" s="21"/>
      <c r="K72" s="21"/>
    </row>
    <row r="73" spans="1:11">
      <c r="A73" s="21"/>
      <c r="B73" s="21"/>
      <c r="C73" s="21"/>
      <c r="D73" s="21"/>
      <c r="E73" s="21"/>
      <c r="F73" s="21"/>
      <c r="G73" s="21"/>
      <c r="H73" s="21"/>
      <c r="I73" s="21"/>
      <c r="J73" s="21"/>
      <c r="K73" s="21"/>
    </row>
    <row r="74" spans="1:11">
      <c r="A74" s="21"/>
      <c r="B74" s="21"/>
      <c r="C74" s="21"/>
      <c r="D74" s="21"/>
      <c r="E74" s="21"/>
      <c r="F74" s="21"/>
      <c r="G74" s="21"/>
      <c r="H74" s="21"/>
      <c r="I74" s="21"/>
      <c r="J74" s="21"/>
      <c r="K74" s="21"/>
    </row>
    <row r="75" spans="1:11">
      <c r="A75" s="21"/>
      <c r="B75" s="21"/>
      <c r="C75" s="21"/>
      <c r="D75" s="21"/>
      <c r="E75" s="21"/>
      <c r="F75" s="21"/>
      <c r="G75" s="21"/>
      <c r="H75" s="21"/>
      <c r="I75" s="21"/>
      <c r="J75" s="21"/>
      <c r="K75" s="21"/>
    </row>
    <row r="76" spans="1:11">
      <c r="A76" s="21"/>
      <c r="B76" s="21"/>
      <c r="C76" s="21"/>
      <c r="D76" s="21"/>
      <c r="E76" s="21"/>
      <c r="F76" s="21"/>
      <c r="G76" s="21"/>
      <c r="H76" s="21"/>
      <c r="I76" s="21"/>
      <c r="J76" s="21"/>
      <c r="K76" s="21"/>
    </row>
    <row r="77" spans="1:11">
      <c r="A77" s="21"/>
      <c r="B77" s="21"/>
      <c r="C77" s="21"/>
      <c r="D77" s="21"/>
      <c r="E77" s="21"/>
      <c r="F77" s="21"/>
      <c r="G77" s="21"/>
      <c r="H77" s="21"/>
      <c r="I77" s="21"/>
      <c r="J77" s="21"/>
      <c r="K77" s="21"/>
    </row>
    <row r="78" spans="1:11">
      <c r="A78" s="21"/>
      <c r="B78" s="21"/>
      <c r="C78" s="21"/>
      <c r="D78" s="21"/>
      <c r="E78" s="21"/>
      <c r="F78" s="21"/>
      <c r="G78" s="21"/>
      <c r="H78" s="21"/>
      <c r="I78" s="21"/>
      <c r="J78" s="21"/>
      <c r="K78" s="21"/>
    </row>
    <row r="79" spans="1:11">
      <c r="A79" s="21"/>
      <c r="B79" s="21"/>
      <c r="C79" s="21"/>
      <c r="D79" s="21"/>
      <c r="E79" s="21"/>
      <c r="F79" s="21"/>
      <c r="G79" s="21"/>
      <c r="H79" s="21"/>
      <c r="I79" s="21"/>
      <c r="J79" s="21"/>
      <c r="K79" s="21"/>
    </row>
    <row r="80" spans="1:11">
      <c r="A80" s="21"/>
      <c r="B80" s="21"/>
      <c r="C80" s="21"/>
      <c r="D80" s="21"/>
      <c r="E80" s="21"/>
      <c r="F80" s="21"/>
      <c r="G80" s="21"/>
      <c r="H80" s="21"/>
      <c r="I80" s="21"/>
      <c r="J80" s="21"/>
      <c r="K80" s="21"/>
    </row>
    <row r="81" spans="1:11">
      <c r="A81" s="21"/>
      <c r="B81" s="21"/>
      <c r="C81" s="21"/>
      <c r="D81" s="21"/>
      <c r="E81" s="21"/>
      <c r="F81" s="21"/>
      <c r="G81" s="21"/>
      <c r="H81" s="21"/>
      <c r="I81" s="21"/>
      <c r="J81" s="21"/>
      <c r="K81" s="21"/>
    </row>
    <row r="82" spans="1:11">
      <c r="A82" s="21"/>
      <c r="B82" s="21"/>
      <c r="C82" s="21"/>
      <c r="D82" s="21"/>
      <c r="E82" s="21"/>
      <c r="F82" s="21"/>
      <c r="G82" s="21"/>
      <c r="H82" s="21"/>
      <c r="I82" s="21"/>
      <c r="J82" s="21"/>
      <c r="K82" s="21"/>
    </row>
    <row r="83" spans="1:11">
      <c r="A83" s="21"/>
      <c r="B83" s="21"/>
      <c r="C83" s="21"/>
      <c r="D83" s="21"/>
      <c r="E83" s="21"/>
      <c r="F83" s="21"/>
      <c r="G83" s="21"/>
      <c r="H83" s="21"/>
      <c r="I83" s="21"/>
      <c r="J83" s="21"/>
      <c r="K83" s="21"/>
    </row>
    <row r="84" spans="1:11">
      <c r="A84" s="21"/>
      <c r="B84" s="21"/>
      <c r="C84" s="21"/>
      <c r="D84" s="21"/>
      <c r="E84" s="21"/>
      <c r="F84" s="21"/>
      <c r="G84" s="21"/>
      <c r="H84" s="21"/>
      <c r="I84" s="21"/>
      <c r="J84" s="21"/>
      <c r="K84" s="21"/>
    </row>
    <row r="85" spans="1:11">
      <c r="A85" s="21"/>
      <c r="B85" s="21"/>
      <c r="C85" s="21"/>
      <c r="D85" s="21"/>
      <c r="E85" s="21"/>
      <c r="F85" s="21"/>
      <c r="G85" s="21"/>
      <c r="H85" s="21"/>
      <c r="I85" s="21"/>
      <c r="J85" s="21"/>
      <c r="K85" s="21"/>
    </row>
    <row r="86" spans="1:11">
      <c r="A86" s="21"/>
      <c r="B86" s="21"/>
      <c r="C86" s="21"/>
      <c r="D86" s="21"/>
      <c r="E86" s="21"/>
      <c r="F86" s="21"/>
      <c r="G86" s="21"/>
      <c r="H86" s="21"/>
      <c r="I86" s="21"/>
      <c r="J86" s="21"/>
      <c r="K86" s="21"/>
    </row>
    <row r="87" spans="1:11">
      <c r="A87" s="21"/>
      <c r="B87" s="21"/>
      <c r="C87" s="21"/>
      <c r="D87" s="21"/>
      <c r="E87" s="21"/>
      <c r="F87" s="21"/>
      <c r="G87" s="21"/>
      <c r="H87" s="21"/>
      <c r="I87" s="21"/>
      <c r="J87" s="21"/>
      <c r="K87" s="21"/>
    </row>
    <row r="88" spans="1:11">
      <c r="A88" s="21"/>
      <c r="B88" s="21"/>
      <c r="C88" s="21"/>
      <c r="D88" s="21"/>
      <c r="E88" s="21"/>
      <c r="F88" s="21"/>
      <c r="G88" s="21"/>
      <c r="H88" s="21"/>
      <c r="I88" s="21"/>
      <c r="J88" s="21"/>
      <c r="K88" s="21"/>
    </row>
    <row r="89" spans="1:11">
      <c r="A89" s="21"/>
      <c r="B89" s="21"/>
      <c r="C89" s="21"/>
      <c r="D89" s="21"/>
      <c r="E89" s="21"/>
      <c r="F89" s="21"/>
      <c r="G89" s="21"/>
      <c r="H89" s="21"/>
      <c r="I89" s="21"/>
      <c r="J89" s="21"/>
      <c r="K89" s="21"/>
    </row>
    <row r="90" spans="1:11">
      <c r="A90" s="21"/>
      <c r="B90" s="21"/>
      <c r="C90" s="21"/>
      <c r="D90" s="21"/>
      <c r="E90" s="21"/>
      <c r="F90" s="21"/>
      <c r="G90" s="21"/>
      <c r="H90" s="21"/>
      <c r="I90" s="21"/>
      <c r="J90" s="21"/>
      <c r="K90" s="21"/>
    </row>
    <row r="91" spans="1:11">
      <c r="A91" s="21"/>
      <c r="B91" s="21"/>
      <c r="C91" s="21"/>
      <c r="D91" s="21"/>
      <c r="E91" s="21"/>
      <c r="F91" s="21"/>
      <c r="G91" s="21"/>
      <c r="H91" s="21"/>
      <c r="I91" s="21"/>
      <c r="J91" s="21"/>
      <c r="K91" s="21"/>
    </row>
    <row r="92" spans="1:11">
      <c r="A92" s="21"/>
      <c r="B92" s="21"/>
      <c r="C92" s="21"/>
      <c r="D92" s="21"/>
      <c r="E92" s="21"/>
      <c r="F92" s="21"/>
      <c r="G92" s="21"/>
      <c r="H92" s="21"/>
      <c r="I92" s="21"/>
      <c r="J92" s="21"/>
      <c r="K92" s="21"/>
    </row>
    <row r="93" spans="1:11">
      <c r="A93" s="21"/>
      <c r="B93" s="21"/>
      <c r="C93" s="21"/>
      <c r="D93" s="21"/>
      <c r="E93" s="21"/>
      <c r="F93" s="21"/>
      <c r="G93" s="21"/>
      <c r="H93" s="21"/>
      <c r="I93" s="21"/>
      <c r="J93" s="21"/>
      <c r="K93" s="21"/>
    </row>
    <row r="94" spans="1:11">
      <c r="A94" s="21"/>
      <c r="B94" s="21"/>
      <c r="C94" s="21"/>
      <c r="D94" s="21"/>
      <c r="E94" s="21"/>
      <c r="F94" s="21"/>
      <c r="G94" s="21"/>
      <c r="H94" s="21"/>
      <c r="I94" s="21"/>
      <c r="J94" s="21"/>
      <c r="K94" s="21"/>
    </row>
  </sheetData>
  <sheetProtection formatColumns="0" formatRows="0" insertColumns="0" insertRows="0"/>
  <printOptions horizontalCentered="1"/>
  <pageMargins left="0.25" right="0.25" top="0.75" bottom="0.75" header="0.3" footer="0.3"/>
  <pageSetup orientation="portrait" r:id="rId1"/>
  <headerFooter scaleWithDoc="0">
    <oddHeader>&amp;C&amp;"-,Bold"&amp;20CoStar Sale Report - Sale Comp #1</oddHead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38593" r:id="rId4" name="Button 1">
              <controlPr defaultSize="0" print="0" autoFill="0" autoPict="0" macro="[0]!PasteImageWithBorder_ExtraPage">
                <anchor moveWithCells="1" sizeWithCells="1">
                  <from>
                    <xdr:col>12</xdr:col>
                    <xdr:colOff>312420</xdr:colOff>
                    <xdr:row>3</xdr:row>
                    <xdr:rowOff>0</xdr:rowOff>
                  </from>
                  <to>
                    <xdr:col>15</xdr:col>
                    <xdr:colOff>304800</xdr:colOff>
                    <xdr:row>6</xdr:row>
                    <xdr:rowOff>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BA322D-97A0-48F2-A0E5-B9DD9E36F5B1}">
  <sheetPr codeName="Sheet35">
    <tabColor theme="9" tint="-0.249977111117893"/>
  </sheetPr>
  <dimension ref="A1:K94"/>
  <sheetViews>
    <sheetView view="pageLayout" zoomScale="115" zoomScaleNormal="115" zoomScaleSheetLayoutView="130" zoomScalePageLayoutView="115" workbookViewId="0"/>
  </sheetViews>
  <sheetFormatPr defaultRowHeight="14.4"/>
  <cols>
    <col min="1" max="1" width="9.6640625" customWidth="1"/>
    <col min="11" max="11" width="9.6640625" customWidth="1"/>
  </cols>
  <sheetData>
    <row r="1" spans="1:11">
      <c r="A1" s="21"/>
      <c r="B1" s="21"/>
      <c r="C1" s="21"/>
      <c r="D1" s="21"/>
      <c r="E1" s="21"/>
      <c r="F1" s="21"/>
      <c r="G1" s="21"/>
      <c r="H1" s="21"/>
      <c r="I1" s="21"/>
      <c r="J1" s="21"/>
      <c r="K1" s="21"/>
    </row>
    <row r="2" spans="1:11">
      <c r="A2" s="21"/>
      <c r="B2" s="21"/>
      <c r="C2" s="21"/>
      <c r="D2" s="21"/>
      <c r="E2" s="21"/>
      <c r="F2" s="21"/>
      <c r="G2" s="21"/>
      <c r="H2" s="21"/>
      <c r="I2" s="21"/>
      <c r="J2" s="21"/>
      <c r="K2" s="21"/>
    </row>
    <row r="3" spans="1:11">
      <c r="A3" s="21"/>
      <c r="B3" s="21"/>
      <c r="C3" s="21"/>
      <c r="D3" s="21"/>
      <c r="E3" s="21"/>
      <c r="F3" s="21"/>
      <c r="G3" s="21"/>
      <c r="H3" s="21"/>
      <c r="I3" s="21"/>
      <c r="J3" s="21"/>
      <c r="K3" s="21"/>
    </row>
    <row r="4" spans="1:11">
      <c r="A4" s="21"/>
      <c r="B4" s="21"/>
      <c r="C4" s="21"/>
      <c r="D4" s="21"/>
      <c r="E4" s="21"/>
      <c r="F4" s="21"/>
      <c r="G4" s="21"/>
      <c r="H4" s="21"/>
      <c r="I4" s="21"/>
      <c r="J4" s="21"/>
      <c r="K4" s="21"/>
    </row>
    <row r="5" spans="1:11">
      <c r="A5" s="21"/>
      <c r="B5" s="21"/>
      <c r="C5" s="21"/>
      <c r="D5" s="21"/>
      <c r="E5" s="21"/>
      <c r="F5" s="21"/>
      <c r="G5" s="21"/>
      <c r="H5" s="21"/>
      <c r="I5" s="21"/>
      <c r="J5" s="21"/>
      <c r="K5" s="21"/>
    </row>
    <row r="6" spans="1:11">
      <c r="A6" s="21"/>
      <c r="B6" s="21"/>
      <c r="C6" s="21"/>
      <c r="D6" s="21"/>
      <c r="E6" s="21"/>
      <c r="F6" s="21"/>
      <c r="G6" s="21"/>
      <c r="H6" s="21"/>
      <c r="I6" s="21"/>
      <c r="J6" s="21"/>
      <c r="K6" s="21"/>
    </row>
    <row r="7" spans="1:11">
      <c r="A7" s="21"/>
      <c r="B7" s="21"/>
      <c r="C7" s="21"/>
      <c r="D7" s="21"/>
      <c r="E7" s="21"/>
      <c r="F7" s="21"/>
      <c r="G7" s="21"/>
      <c r="H7" s="21"/>
      <c r="I7" s="21"/>
      <c r="J7" s="21"/>
      <c r="K7" s="21"/>
    </row>
    <row r="8" spans="1:11">
      <c r="A8" s="21"/>
      <c r="B8" s="21"/>
      <c r="C8" s="21"/>
      <c r="D8" s="21"/>
      <c r="E8" s="21"/>
      <c r="F8" s="21"/>
      <c r="G8" s="21"/>
      <c r="H8" s="21"/>
      <c r="I8" s="21"/>
      <c r="J8" s="21"/>
      <c r="K8" s="21"/>
    </row>
    <row r="9" spans="1:11">
      <c r="A9" s="21"/>
      <c r="B9" s="21"/>
      <c r="C9" s="21"/>
      <c r="D9" s="21"/>
      <c r="E9" s="21"/>
      <c r="F9" s="21"/>
      <c r="G9" s="21"/>
      <c r="H9" s="21"/>
      <c r="I9" s="21"/>
      <c r="J9" s="21"/>
      <c r="K9" s="21"/>
    </row>
    <row r="10" spans="1:11">
      <c r="A10" s="21"/>
      <c r="B10" s="21"/>
      <c r="C10" s="21"/>
      <c r="D10" s="21"/>
      <c r="E10" s="21"/>
      <c r="F10" s="21"/>
      <c r="G10" s="21"/>
      <c r="H10" s="21"/>
      <c r="I10" s="21"/>
      <c r="J10" s="21"/>
      <c r="K10" s="21"/>
    </row>
    <row r="11" spans="1:11">
      <c r="A11" s="21"/>
      <c r="B11" s="21"/>
      <c r="C11" s="21"/>
      <c r="D11" s="21"/>
      <c r="E11" s="21"/>
      <c r="F11" s="21"/>
      <c r="G11" s="21"/>
      <c r="H11" s="21"/>
      <c r="I11" s="21"/>
      <c r="J11" s="21"/>
      <c r="K11" s="21"/>
    </row>
    <row r="12" spans="1:11">
      <c r="A12" s="21"/>
      <c r="B12" s="21"/>
      <c r="C12" s="21"/>
      <c r="D12" s="21"/>
      <c r="E12" s="21"/>
      <c r="F12" s="21"/>
      <c r="G12" s="21"/>
      <c r="H12" s="21"/>
      <c r="I12" s="21"/>
      <c r="J12" s="21"/>
      <c r="K12" s="21"/>
    </row>
    <row r="13" spans="1:11">
      <c r="A13" s="21"/>
      <c r="B13" s="21"/>
      <c r="C13" s="21"/>
      <c r="D13" s="21"/>
      <c r="E13" s="21"/>
      <c r="F13" s="21"/>
      <c r="G13" s="21"/>
      <c r="H13" s="21"/>
      <c r="I13" s="21"/>
      <c r="J13" s="21"/>
      <c r="K13" s="21"/>
    </row>
    <row r="14" spans="1:11">
      <c r="A14" s="21"/>
      <c r="B14" s="21"/>
      <c r="C14" s="21"/>
      <c r="D14" s="21"/>
      <c r="E14" s="21"/>
      <c r="F14" s="21"/>
      <c r="G14" s="21"/>
      <c r="H14" s="21"/>
      <c r="I14" s="21"/>
      <c r="J14" s="21"/>
      <c r="K14" s="21"/>
    </row>
    <row r="15" spans="1:11">
      <c r="A15" s="21"/>
      <c r="B15" s="21"/>
      <c r="C15" s="21"/>
      <c r="D15" s="21"/>
      <c r="E15" s="21"/>
      <c r="F15" s="21"/>
      <c r="G15" s="21"/>
      <c r="H15" s="21"/>
      <c r="I15" s="21"/>
      <c r="J15" s="21"/>
      <c r="K15" s="21"/>
    </row>
    <row r="16" spans="1:11">
      <c r="A16" s="21"/>
      <c r="B16" s="21"/>
      <c r="C16" s="21"/>
      <c r="D16" s="21"/>
      <c r="E16" s="21"/>
      <c r="F16" s="21"/>
      <c r="G16" s="21"/>
      <c r="H16" s="21"/>
      <c r="I16" s="21"/>
      <c r="J16" s="21"/>
      <c r="K16" s="21"/>
    </row>
    <row r="17" spans="1:11">
      <c r="A17" s="21"/>
      <c r="B17" s="21"/>
      <c r="C17" s="21"/>
      <c r="D17" s="21"/>
      <c r="E17" s="21"/>
      <c r="F17" s="21"/>
      <c r="G17" s="21"/>
      <c r="H17" s="21"/>
      <c r="I17" s="21"/>
      <c r="J17" s="21"/>
      <c r="K17" s="21"/>
    </row>
    <row r="18" spans="1:11">
      <c r="A18" s="21"/>
      <c r="B18" s="21"/>
      <c r="C18" s="21"/>
      <c r="D18" s="21"/>
      <c r="E18" s="21"/>
      <c r="F18" s="21"/>
      <c r="G18" s="21"/>
      <c r="H18" s="21"/>
      <c r="I18" s="21"/>
      <c r="J18" s="21"/>
      <c r="K18" s="21"/>
    </row>
    <row r="19" spans="1:11">
      <c r="A19" s="21"/>
      <c r="B19" s="21"/>
      <c r="C19" s="21"/>
      <c r="D19" s="21"/>
      <c r="E19" s="21"/>
      <c r="F19" s="21"/>
      <c r="G19" s="21"/>
      <c r="H19" s="21"/>
      <c r="I19" s="21"/>
      <c r="J19" s="21"/>
      <c r="K19" s="21"/>
    </row>
    <row r="20" spans="1:11">
      <c r="A20" s="21"/>
      <c r="B20" s="21"/>
      <c r="C20" s="21"/>
      <c r="D20" s="21"/>
      <c r="E20" s="21"/>
      <c r="F20" s="21"/>
      <c r="G20" s="21"/>
      <c r="H20" s="21"/>
      <c r="I20" s="21"/>
      <c r="J20" s="21"/>
      <c r="K20" s="21"/>
    </row>
    <row r="21" spans="1:11">
      <c r="A21" s="21"/>
      <c r="B21" s="21"/>
      <c r="C21" s="21"/>
      <c r="D21" s="21"/>
      <c r="E21" s="21"/>
      <c r="F21" s="21"/>
      <c r="G21" s="21"/>
      <c r="H21" s="21"/>
      <c r="I21" s="21"/>
      <c r="J21" s="21"/>
      <c r="K21" s="21"/>
    </row>
    <row r="22" spans="1:11">
      <c r="A22" s="21"/>
      <c r="B22" s="21"/>
      <c r="C22" s="21"/>
      <c r="D22" s="21"/>
      <c r="E22" s="21"/>
      <c r="F22" s="21"/>
      <c r="G22" s="21"/>
      <c r="H22" s="21"/>
      <c r="I22" s="21"/>
      <c r="J22" s="21"/>
      <c r="K22" s="21"/>
    </row>
    <row r="23" spans="1:11">
      <c r="A23" s="21"/>
      <c r="B23" s="21"/>
      <c r="C23" s="21"/>
      <c r="D23" s="21"/>
      <c r="E23" s="21"/>
      <c r="F23" s="21"/>
      <c r="G23" s="21"/>
      <c r="H23" s="21"/>
      <c r="I23" s="21"/>
      <c r="J23" s="21"/>
      <c r="K23" s="21"/>
    </row>
    <row r="24" spans="1:11">
      <c r="A24" s="21"/>
      <c r="B24" s="21"/>
      <c r="C24" s="21"/>
      <c r="D24" s="21"/>
      <c r="E24" s="21"/>
      <c r="F24" s="21"/>
      <c r="G24" s="21"/>
      <c r="H24" s="21"/>
      <c r="I24" s="21"/>
      <c r="J24" s="21"/>
      <c r="K24" s="21"/>
    </row>
    <row r="25" spans="1:11">
      <c r="A25" s="21"/>
      <c r="B25" s="21"/>
      <c r="C25" s="21"/>
      <c r="D25" s="21"/>
      <c r="E25" s="21"/>
      <c r="F25" s="21"/>
      <c r="G25" s="21"/>
      <c r="H25" s="21"/>
      <c r="I25" s="21"/>
      <c r="J25" s="21"/>
      <c r="K25" s="21"/>
    </row>
    <row r="26" spans="1:11">
      <c r="A26" s="21"/>
      <c r="B26" s="21"/>
      <c r="C26" s="21"/>
      <c r="D26" s="21"/>
      <c r="E26" s="21"/>
      <c r="F26" s="21"/>
      <c r="G26" s="21"/>
      <c r="H26" s="21"/>
      <c r="I26" s="21"/>
      <c r="J26" s="21"/>
      <c r="K26" s="21"/>
    </row>
    <row r="27" spans="1:11">
      <c r="A27" s="21"/>
      <c r="B27" s="21"/>
      <c r="C27" s="21"/>
      <c r="D27" s="21"/>
      <c r="E27" s="21"/>
      <c r="F27" s="21"/>
      <c r="G27" s="21"/>
      <c r="H27" s="21"/>
      <c r="I27" s="21"/>
      <c r="J27" s="21"/>
      <c r="K27" s="21"/>
    </row>
    <row r="28" spans="1:11">
      <c r="A28" s="21"/>
      <c r="B28" s="21"/>
      <c r="C28" s="21"/>
      <c r="D28" s="21"/>
      <c r="E28" s="21"/>
      <c r="F28" s="21"/>
      <c r="G28" s="21"/>
      <c r="H28" s="21"/>
      <c r="I28" s="21"/>
      <c r="J28" s="21"/>
      <c r="K28" s="21"/>
    </row>
    <row r="29" spans="1:11">
      <c r="A29" s="21"/>
      <c r="B29" s="21"/>
      <c r="C29" s="21"/>
      <c r="D29" s="21"/>
      <c r="E29" s="21"/>
      <c r="F29" s="21"/>
      <c r="G29" s="21"/>
      <c r="H29" s="21"/>
      <c r="I29" s="21"/>
      <c r="J29" s="21"/>
      <c r="K29" s="21"/>
    </row>
    <row r="30" spans="1:11">
      <c r="A30" s="21"/>
      <c r="B30" s="21"/>
      <c r="C30" s="21"/>
      <c r="D30" s="21"/>
      <c r="E30" s="21"/>
      <c r="F30" s="21"/>
      <c r="G30" s="21"/>
      <c r="H30" s="21"/>
      <c r="I30" s="21"/>
      <c r="J30" s="21"/>
      <c r="K30" s="21"/>
    </row>
    <row r="31" spans="1:11">
      <c r="A31" s="21"/>
      <c r="B31" s="21"/>
      <c r="C31" s="21"/>
      <c r="D31" s="21"/>
      <c r="E31" s="21"/>
      <c r="F31" s="21"/>
      <c r="G31" s="21"/>
      <c r="H31" s="21"/>
      <c r="I31" s="21"/>
      <c r="J31" s="21"/>
      <c r="K31" s="21"/>
    </row>
    <row r="32" spans="1:11">
      <c r="A32" s="21"/>
      <c r="B32" s="21"/>
      <c r="C32" s="21"/>
      <c r="D32" s="21"/>
      <c r="E32" s="21"/>
      <c r="F32" s="21"/>
      <c r="G32" s="21"/>
      <c r="H32" s="21"/>
      <c r="I32" s="21"/>
      <c r="J32" s="21"/>
      <c r="K32" s="21"/>
    </row>
    <row r="33" spans="1:11">
      <c r="A33" s="21"/>
      <c r="B33" s="21"/>
      <c r="C33" s="21"/>
      <c r="D33" s="21"/>
      <c r="E33" s="21"/>
      <c r="F33" s="21"/>
      <c r="G33" s="21"/>
      <c r="H33" s="21"/>
      <c r="I33" s="21"/>
      <c r="J33" s="21"/>
      <c r="K33" s="21"/>
    </row>
    <row r="34" spans="1:11">
      <c r="A34" s="21"/>
      <c r="B34" s="21"/>
      <c r="C34" s="21"/>
      <c r="D34" s="21"/>
      <c r="E34" s="21"/>
      <c r="F34" s="21"/>
      <c r="G34" s="21"/>
      <c r="H34" s="21"/>
      <c r="I34" s="21"/>
      <c r="J34" s="21"/>
      <c r="K34" s="21"/>
    </row>
    <row r="35" spans="1:11">
      <c r="A35" s="21"/>
      <c r="B35" s="21"/>
      <c r="C35" s="21"/>
      <c r="D35" s="21"/>
      <c r="E35" s="21"/>
      <c r="F35" s="21"/>
      <c r="G35" s="21"/>
      <c r="H35" s="21"/>
      <c r="I35" s="21"/>
      <c r="J35" s="21"/>
      <c r="K35" s="21"/>
    </row>
    <row r="36" spans="1:11">
      <c r="A36" s="21"/>
      <c r="B36" s="21"/>
      <c r="C36" s="21"/>
      <c r="D36" s="21"/>
      <c r="E36" s="21"/>
      <c r="F36" s="21"/>
      <c r="G36" s="21"/>
      <c r="H36" s="21"/>
      <c r="I36" s="21"/>
      <c r="J36" s="21"/>
      <c r="K36" s="21"/>
    </row>
    <row r="37" spans="1:11">
      <c r="A37" s="21"/>
      <c r="B37" s="21"/>
      <c r="C37" s="21"/>
      <c r="D37" s="21"/>
      <c r="E37" s="21"/>
      <c r="F37" s="21"/>
      <c r="G37" s="21"/>
      <c r="H37" s="21"/>
      <c r="I37" s="21"/>
      <c r="J37" s="21"/>
      <c r="K37" s="21"/>
    </row>
    <row r="38" spans="1:11">
      <c r="A38" s="21"/>
      <c r="B38" s="21"/>
      <c r="C38" s="21"/>
      <c r="D38" s="21"/>
      <c r="E38" s="21"/>
      <c r="F38" s="21"/>
      <c r="G38" s="21"/>
      <c r="H38" s="21"/>
      <c r="I38" s="21"/>
      <c r="J38" s="21"/>
      <c r="K38" s="21"/>
    </row>
    <row r="39" spans="1:11">
      <c r="A39" s="21"/>
      <c r="B39" s="21"/>
      <c r="C39" s="21"/>
      <c r="D39" s="21"/>
      <c r="E39" s="21"/>
      <c r="F39" s="21"/>
      <c r="G39" s="21"/>
      <c r="H39" s="21"/>
      <c r="I39" s="21"/>
      <c r="J39" s="21"/>
      <c r="K39" s="21"/>
    </row>
    <row r="40" spans="1:11">
      <c r="A40" s="21"/>
      <c r="B40" s="21"/>
      <c r="C40" s="21"/>
      <c r="D40" s="21"/>
      <c r="E40" s="21"/>
      <c r="F40" s="21"/>
      <c r="G40" s="21"/>
      <c r="H40" s="21"/>
      <c r="I40" s="21"/>
      <c r="J40" s="21"/>
      <c r="K40" s="21"/>
    </row>
    <row r="41" spans="1:11">
      <c r="A41" s="21"/>
      <c r="B41" s="21"/>
      <c r="C41" s="21"/>
      <c r="D41" s="21"/>
      <c r="E41" s="21"/>
      <c r="F41" s="21"/>
      <c r="G41" s="21"/>
      <c r="H41" s="21"/>
      <c r="I41" s="21"/>
      <c r="J41" s="21"/>
      <c r="K41" s="21"/>
    </row>
    <row r="42" spans="1:11">
      <c r="A42" s="21"/>
      <c r="B42" s="21"/>
      <c r="C42" s="21"/>
      <c r="D42" s="21"/>
      <c r="E42" s="21"/>
      <c r="F42" s="21"/>
      <c r="G42" s="21"/>
      <c r="H42" s="21"/>
      <c r="I42" s="21"/>
      <c r="J42" s="21"/>
      <c r="K42" s="21"/>
    </row>
    <row r="43" spans="1:11">
      <c r="A43" s="21"/>
      <c r="B43" s="21"/>
      <c r="C43" s="21"/>
      <c r="D43" s="21"/>
      <c r="E43" s="21"/>
      <c r="F43" s="21"/>
      <c r="G43" s="21"/>
      <c r="H43" s="21"/>
      <c r="I43" s="21"/>
      <c r="J43" s="21"/>
      <c r="K43" s="21"/>
    </row>
    <row r="44" spans="1:11">
      <c r="A44" s="21"/>
      <c r="B44" s="21"/>
      <c r="C44" s="21"/>
      <c r="D44" s="21"/>
      <c r="E44" s="21"/>
      <c r="F44" s="21"/>
      <c r="G44" s="21"/>
      <c r="H44" s="21"/>
      <c r="I44" s="21"/>
      <c r="J44" s="21"/>
      <c r="K44" s="21"/>
    </row>
    <row r="45" spans="1:11">
      <c r="A45" s="21"/>
      <c r="B45" s="21"/>
      <c r="C45" s="21"/>
      <c r="D45" s="21"/>
      <c r="E45" s="21"/>
      <c r="F45" s="21"/>
      <c r="G45" s="21"/>
      <c r="H45" s="21"/>
      <c r="I45" s="21"/>
      <c r="J45" s="21"/>
      <c r="K45" s="21"/>
    </row>
    <row r="46" spans="1:11">
      <c r="A46" s="21"/>
      <c r="B46" s="21"/>
      <c r="C46" s="21"/>
      <c r="D46" s="21"/>
      <c r="E46" s="21"/>
      <c r="F46" s="21"/>
      <c r="G46" s="21"/>
      <c r="H46" s="21"/>
      <c r="I46" s="21"/>
      <c r="J46" s="21"/>
      <c r="K46" s="21"/>
    </row>
    <row r="47" spans="1:11">
      <c r="A47" s="21"/>
      <c r="B47" s="21"/>
      <c r="C47" s="21"/>
      <c r="D47" s="21"/>
      <c r="E47" s="21"/>
      <c r="F47" s="21"/>
      <c r="G47" s="21"/>
      <c r="H47" s="21"/>
      <c r="I47" s="21"/>
      <c r="J47" s="21"/>
      <c r="K47" s="21"/>
    </row>
    <row r="48" spans="1:11">
      <c r="A48" s="21"/>
      <c r="B48" s="21"/>
      <c r="C48" s="21"/>
      <c r="D48" s="21"/>
      <c r="E48" s="21"/>
      <c r="F48" s="21"/>
      <c r="G48" s="21"/>
      <c r="H48" s="21"/>
      <c r="I48" s="21"/>
      <c r="J48" s="21"/>
      <c r="K48" s="21"/>
    </row>
    <row r="49" spans="1:11">
      <c r="A49" s="21"/>
      <c r="B49" s="21"/>
      <c r="C49" s="21"/>
      <c r="D49" s="21"/>
      <c r="E49" s="21"/>
      <c r="F49" s="21"/>
      <c r="G49" s="21"/>
      <c r="H49" s="21"/>
      <c r="I49" s="21"/>
      <c r="J49" s="21"/>
      <c r="K49" s="21"/>
    </row>
    <row r="50" spans="1:11">
      <c r="A50" s="21"/>
      <c r="B50" s="21"/>
      <c r="C50" s="21"/>
      <c r="D50" s="21"/>
      <c r="E50" s="21"/>
      <c r="F50" s="21"/>
      <c r="G50" s="21"/>
      <c r="H50" s="21"/>
      <c r="I50" s="21"/>
      <c r="J50" s="21"/>
      <c r="K50" s="21"/>
    </row>
    <row r="51" spans="1:11">
      <c r="A51" s="21"/>
      <c r="B51" s="21"/>
      <c r="C51" s="21"/>
      <c r="D51" s="21"/>
      <c r="E51" s="21"/>
      <c r="F51" s="21"/>
      <c r="G51" s="21"/>
      <c r="H51" s="21"/>
      <c r="I51" s="21"/>
      <c r="J51" s="21"/>
      <c r="K51" s="21"/>
    </row>
    <row r="52" spans="1:11">
      <c r="A52" s="21"/>
      <c r="B52" s="21"/>
      <c r="C52" s="21"/>
      <c r="D52" s="21"/>
      <c r="E52" s="21"/>
      <c r="F52" s="21"/>
      <c r="G52" s="21"/>
      <c r="H52" s="21"/>
      <c r="I52" s="21"/>
      <c r="J52" s="21"/>
      <c r="K52" s="21"/>
    </row>
    <row r="53" spans="1:11">
      <c r="A53" s="21"/>
      <c r="B53" s="21"/>
      <c r="C53" s="21"/>
      <c r="D53" s="21"/>
      <c r="E53" s="21"/>
      <c r="F53" s="21"/>
      <c r="G53" s="21"/>
      <c r="H53" s="21"/>
      <c r="I53" s="21"/>
      <c r="J53" s="21"/>
      <c r="K53" s="21"/>
    </row>
    <row r="54" spans="1:11">
      <c r="A54" s="21"/>
      <c r="B54" s="21"/>
      <c r="C54" s="21"/>
      <c r="D54" s="21"/>
      <c r="E54" s="21"/>
      <c r="F54" s="21"/>
      <c r="G54" s="21"/>
      <c r="H54" s="21"/>
      <c r="I54" s="21"/>
      <c r="J54" s="21"/>
      <c r="K54" s="21"/>
    </row>
    <row r="55" spans="1:11">
      <c r="A55" s="21"/>
      <c r="B55" s="21"/>
      <c r="C55" s="21"/>
      <c r="D55" s="21"/>
      <c r="E55" s="21"/>
      <c r="F55" s="21"/>
      <c r="G55" s="21"/>
      <c r="H55" s="21"/>
      <c r="I55" s="21"/>
      <c r="J55" s="21"/>
      <c r="K55" s="21"/>
    </row>
    <row r="56" spans="1:11">
      <c r="A56" s="21"/>
      <c r="B56" s="21"/>
      <c r="C56" s="21"/>
      <c r="D56" s="21"/>
      <c r="E56" s="21"/>
      <c r="F56" s="21"/>
      <c r="G56" s="21"/>
      <c r="H56" s="21"/>
      <c r="I56" s="21"/>
      <c r="J56" s="21"/>
      <c r="K56" s="21"/>
    </row>
    <row r="57" spans="1:11">
      <c r="A57" s="21"/>
      <c r="B57" s="21"/>
      <c r="C57" s="21"/>
      <c r="D57" s="21"/>
      <c r="E57" s="21"/>
      <c r="F57" s="21"/>
      <c r="G57" s="21"/>
      <c r="H57" s="21"/>
      <c r="I57" s="21"/>
      <c r="J57" s="21"/>
      <c r="K57" s="21"/>
    </row>
    <row r="58" spans="1:11">
      <c r="A58" s="21"/>
      <c r="B58" s="21"/>
      <c r="C58" s="21"/>
      <c r="D58" s="21"/>
      <c r="E58" s="21"/>
      <c r="F58" s="21"/>
      <c r="G58" s="21"/>
      <c r="H58" s="21"/>
      <c r="I58" s="21"/>
      <c r="J58" s="21"/>
      <c r="K58" s="21"/>
    </row>
    <row r="59" spans="1:11">
      <c r="A59" s="21"/>
      <c r="B59" s="21"/>
      <c r="C59" s="21"/>
      <c r="D59" s="21"/>
      <c r="E59" s="21"/>
      <c r="F59" s="21"/>
      <c r="G59" s="21"/>
      <c r="H59" s="21"/>
      <c r="I59" s="21"/>
      <c r="J59" s="21"/>
      <c r="K59" s="21"/>
    </row>
    <row r="60" spans="1:11">
      <c r="A60" s="21"/>
      <c r="B60" s="21"/>
      <c r="C60" s="21"/>
      <c r="D60" s="21"/>
      <c r="E60" s="21"/>
      <c r="F60" s="21"/>
      <c r="G60" s="21"/>
      <c r="H60" s="21"/>
      <c r="I60" s="21"/>
      <c r="J60" s="21"/>
      <c r="K60" s="21"/>
    </row>
    <row r="61" spans="1:11">
      <c r="A61" s="21"/>
      <c r="B61" s="21"/>
      <c r="C61" s="21"/>
      <c r="D61" s="21"/>
      <c r="E61" s="21"/>
      <c r="F61" s="21"/>
      <c r="G61" s="21"/>
      <c r="H61" s="21"/>
      <c r="I61" s="21"/>
      <c r="J61" s="21"/>
      <c r="K61" s="21"/>
    </row>
    <row r="62" spans="1:11">
      <c r="A62" s="21"/>
      <c r="B62" s="21"/>
      <c r="C62" s="21"/>
      <c r="D62" s="21"/>
      <c r="E62" s="21"/>
      <c r="F62" s="21"/>
      <c r="G62" s="21"/>
      <c r="H62" s="21"/>
      <c r="I62" s="21"/>
      <c r="J62" s="21"/>
      <c r="K62" s="21"/>
    </row>
    <row r="63" spans="1:11">
      <c r="A63" s="21"/>
      <c r="B63" s="21"/>
      <c r="C63" s="21"/>
      <c r="D63" s="21"/>
      <c r="E63" s="21"/>
      <c r="F63" s="21"/>
      <c r="G63" s="21"/>
      <c r="H63" s="21"/>
      <c r="I63" s="21"/>
      <c r="J63" s="21"/>
      <c r="K63" s="21"/>
    </row>
    <row r="64" spans="1:11">
      <c r="A64" s="21"/>
      <c r="B64" s="21"/>
      <c r="C64" s="21"/>
      <c r="D64" s="21"/>
      <c r="E64" s="21"/>
      <c r="F64" s="21"/>
      <c r="G64" s="21"/>
      <c r="H64" s="21"/>
      <c r="I64" s="21"/>
      <c r="J64" s="21"/>
      <c r="K64" s="21"/>
    </row>
    <row r="65" spans="1:11">
      <c r="A65" s="21"/>
      <c r="B65" s="21"/>
      <c r="C65" s="21"/>
      <c r="D65" s="21"/>
      <c r="E65" s="21"/>
      <c r="F65" s="21"/>
      <c r="G65" s="21"/>
      <c r="H65" s="21"/>
      <c r="I65" s="21"/>
      <c r="J65" s="21"/>
      <c r="K65" s="21"/>
    </row>
    <row r="66" spans="1:11">
      <c r="A66" s="21"/>
      <c r="B66" s="21"/>
      <c r="C66" s="21"/>
      <c r="D66" s="21"/>
      <c r="E66" s="21"/>
      <c r="F66" s="21"/>
      <c r="G66" s="21"/>
      <c r="H66" s="21"/>
      <c r="I66" s="21"/>
      <c r="J66" s="21"/>
      <c r="K66" s="21"/>
    </row>
    <row r="67" spans="1:11">
      <c r="A67" s="21"/>
      <c r="B67" s="21"/>
      <c r="C67" s="21"/>
      <c r="D67" s="21"/>
      <c r="E67" s="21"/>
      <c r="F67" s="21"/>
      <c r="G67" s="21"/>
      <c r="H67" s="21"/>
      <c r="I67" s="21"/>
      <c r="J67" s="21"/>
      <c r="K67" s="21"/>
    </row>
    <row r="68" spans="1:11">
      <c r="A68" s="21"/>
      <c r="B68" s="21"/>
      <c r="C68" s="21"/>
      <c r="D68" s="21"/>
      <c r="E68" s="21"/>
      <c r="F68" s="21"/>
      <c r="G68" s="21"/>
      <c r="H68" s="21"/>
      <c r="I68" s="21"/>
      <c r="J68" s="21"/>
      <c r="K68" s="21"/>
    </row>
    <row r="69" spans="1:11">
      <c r="A69" s="21"/>
      <c r="B69" s="21"/>
      <c r="C69" s="21"/>
      <c r="D69" s="21"/>
      <c r="E69" s="21"/>
      <c r="F69" s="21"/>
      <c r="G69" s="21"/>
      <c r="H69" s="21"/>
      <c r="I69" s="21"/>
      <c r="J69" s="21"/>
      <c r="K69" s="21"/>
    </row>
    <row r="70" spans="1:11">
      <c r="A70" s="21"/>
      <c r="B70" s="21"/>
      <c r="C70" s="21"/>
      <c r="D70" s="21"/>
      <c r="E70" s="21"/>
      <c r="F70" s="21"/>
      <c r="G70" s="21"/>
      <c r="H70" s="21"/>
      <c r="I70" s="21"/>
      <c r="J70" s="21"/>
      <c r="K70" s="21"/>
    </row>
    <row r="71" spans="1:11">
      <c r="A71" s="21"/>
      <c r="B71" s="21"/>
      <c r="C71" s="21"/>
      <c r="D71" s="21"/>
      <c r="E71" s="21"/>
      <c r="F71" s="21"/>
      <c r="G71" s="21"/>
      <c r="H71" s="21"/>
      <c r="I71" s="21"/>
      <c r="J71" s="21"/>
      <c r="K71" s="21"/>
    </row>
    <row r="72" spans="1:11">
      <c r="A72" s="21"/>
      <c r="B72" s="21"/>
      <c r="C72" s="21"/>
      <c r="D72" s="21"/>
      <c r="E72" s="21"/>
      <c r="F72" s="21"/>
      <c r="G72" s="21"/>
      <c r="H72" s="21"/>
      <c r="I72" s="21"/>
      <c r="J72" s="21"/>
      <c r="K72" s="21"/>
    </row>
    <row r="73" spans="1:11">
      <c r="A73" s="21"/>
      <c r="B73" s="21"/>
      <c r="C73" s="21"/>
      <c r="D73" s="21"/>
      <c r="E73" s="21"/>
      <c r="F73" s="21"/>
      <c r="G73" s="21"/>
      <c r="H73" s="21"/>
      <c r="I73" s="21"/>
      <c r="J73" s="21"/>
      <c r="K73" s="21"/>
    </row>
    <row r="74" spans="1:11">
      <c r="A74" s="21"/>
      <c r="B74" s="21"/>
      <c r="C74" s="21"/>
      <c r="D74" s="21"/>
      <c r="E74" s="21"/>
      <c r="F74" s="21"/>
      <c r="G74" s="21"/>
      <c r="H74" s="21"/>
      <c r="I74" s="21"/>
      <c r="J74" s="21"/>
      <c r="K74" s="21"/>
    </row>
    <row r="75" spans="1:11">
      <c r="A75" s="21"/>
      <c r="B75" s="21"/>
      <c r="C75" s="21"/>
      <c r="D75" s="21"/>
      <c r="E75" s="21"/>
      <c r="F75" s="21"/>
      <c r="G75" s="21"/>
      <c r="H75" s="21"/>
      <c r="I75" s="21"/>
      <c r="J75" s="21"/>
      <c r="K75" s="21"/>
    </row>
    <row r="76" spans="1:11">
      <c r="A76" s="21"/>
      <c r="B76" s="21"/>
      <c r="C76" s="21"/>
      <c r="D76" s="21"/>
      <c r="E76" s="21"/>
      <c r="F76" s="21"/>
      <c r="G76" s="21"/>
      <c r="H76" s="21"/>
      <c r="I76" s="21"/>
      <c r="J76" s="21"/>
      <c r="K76" s="21"/>
    </row>
    <row r="77" spans="1:11">
      <c r="A77" s="21"/>
      <c r="B77" s="21"/>
      <c r="C77" s="21"/>
      <c r="D77" s="21"/>
      <c r="E77" s="21"/>
      <c r="F77" s="21"/>
      <c r="G77" s="21"/>
      <c r="H77" s="21"/>
      <c r="I77" s="21"/>
      <c r="J77" s="21"/>
      <c r="K77" s="21"/>
    </row>
    <row r="78" spans="1:11">
      <c r="A78" s="21"/>
      <c r="B78" s="21"/>
      <c r="C78" s="21"/>
      <c r="D78" s="21"/>
      <c r="E78" s="21"/>
      <c r="F78" s="21"/>
      <c r="G78" s="21"/>
      <c r="H78" s="21"/>
      <c r="I78" s="21"/>
      <c r="J78" s="21"/>
      <c r="K78" s="21"/>
    </row>
    <row r="79" spans="1:11">
      <c r="A79" s="21"/>
      <c r="B79" s="21"/>
      <c r="C79" s="21"/>
      <c r="D79" s="21"/>
      <c r="E79" s="21"/>
      <c r="F79" s="21"/>
      <c r="G79" s="21"/>
      <c r="H79" s="21"/>
      <c r="I79" s="21"/>
      <c r="J79" s="21"/>
      <c r="K79" s="21"/>
    </row>
    <row r="80" spans="1:11">
      <c r="A80" s="21"/>
      <c r="B80" s="21"/>
      <c r="C80" s="21"/>
      <c r="D80" s="21"/>
      <c r="E80" s="21"/>
      <c r="F80" s="21"/>
      <c r="G80" s="21"/>
      <c r="H80" s="21"/>
      <c r="I80" s="21"/>
      <c r="J80" s="21"/>
      <c r="K80" s="21"/>
    </row>
    <row r="81" spans="1:11">
      <c r="A81" s="21"/>
      <c r="B81" s="21"/>
      <c r="C81" s="21"/>
      <c r="D81" s="21"/>
      <c r="E81" s="21"/>
      <c r="F81" s="21"/>
      <c r="G81" s="21"/>
      <c r="H81" s="21"/>
      <c r="I81" s="21"/>
      <c r="J81" s="21"/>
      <c r="K81" s="21"/>
    </row>
    <row r="82" spans="1:11">
      <c r="A82" s="21"/>
      <c r="B82" s="21"/>
      <c r="C82" s="21"/>
      <c r="D82" s="21"/>
      <c r="E82" s="21"/>
      <c r="F82" s="21"/>
      <c r="G82" s="21"/>
      <c r="H82" s="21"/>
      <c r="I82" s="21"/>
      <c r="J82" s="21"/>
      <c r="K82" s="21"/>
    </row>
    <row r="83" spans="1:11">
      <c r="A83" s="21"/>
      <c r="B83" s="21"/>
      <c r="C83" s="21"/>
      <c r="D83" s="21"/>
      <c r="E83" s="21"/>
      <c r="F83" s="21"/>
      <c r="G83" s="21"/>
      <c r="H83" s="21"/>
      <c r="I83" s="21"/>
      <c r="J83" s="21"/>
      <c r="K83" s="21"/>
    </row>
    <row r="84" spans="1:11">
      <c r="A84" s="21"/>
      <c r="B84" s="21"/>
      <c r="C84" s="21"/>
      <c r="D84" s="21"/>
      <c r="E84" s="21"/>
      <c r="F84" s="21"/>
      <c r="G84" s="21"/>
      <c r="H84" s="21"/>
      <c r="I84" s="21"/>
      <c r="J84" s="21"/>
      <c r="K84" s="21"/>
    </row>
    <row r="85" spans="1:11">
      <c r="A85" s="21"/>
      <c r="B85" s="21"/>
      <c r="C85" s="21"/>
      <c r="D85" s="21"/>
      <c r="E85" s="21"/>
      <c r="F85" s="21"/>
      <c r="G85" s="21"/>
      <c r="H85" s="21"/>
      <c r="I85" s="21"/>
      <c r="J85" s="21"/>
      <c r="K85" s="21"/>
    </row>
    <row r="86" spans="1:11">
      <c r="A86" s="21"/>
      <c r="B86" s="21"/>
      <c r="C86" s="21"/>
      <c r="D86" s="21"/>
      <c r="E86" s="21"/>
      <c r="F86" s="21"/>
      <c r="G86" s="21"/>
      <c r="H86" s="21"/>
      <c r="I86" s="21"/>
      <c r="J86" s="21"/>
      <c r="K86" s="21"/>
    </row>
    <row r="87" spans="1:11">
      <c r="A87" s="21"/>
      <c r="B87" s="21"/>
      <c r="C87" s="21"/>
      <c r="D87" s="21"/>
      <c r="E87" s="21"/>
      <c r="F87" s="21"/>
      <c r="G87" s="21"/>
      <c r="H87" s="21"/>
      <c r="I87" s="21"/>
      <c r="J87" s="21"/>
      <c r="K87" s="21"/>
    </row>
    <row r="88" spans="1:11">
      <c r="A88" s="21"/>
      <c r="B88" s="21"/>
      <c r="C88" s="21"/>
      <c r="D88" s="21"/>
      <c r="E88" s="21"/>
      <c r="F88" s="21"/>
      <c r="G88" s="21"/>
      <c r="H88" s="21"/>
      <c r="I88" s="21"/>
      <c r="J88" s="21"/>
      <c r="K88" s="21"/>
    </row>
    <row r="89" spans="1:11">
      <c r="A89" s="21"/>
      <c r="B89" s="21"/>
      <c r="C89" s="21"/>
      <c r="D89" s="21"/>
      <c r="E89" s="21"/>
      <c r="F89" s="21"/>
      <c r="G89" s="21"/>
      <c r="H89" s="21"/>
      <c r="I89" s="21"/>
      <c r="J89" s="21"/>
      <c r="K89" s="21"/>
    </row>
    <row r="90" spans="1:11">
      <c r="A90" s="21"/>
      <c r="B90" s="21"/>
      <c r="C90" s="21"/>
      <c r="D90" s="21"/>
      <c r="E90" s="21"/>
      <c r="F90" s="21"/>
      <c r="G90" s="21"/>
      <c r="H90" s="21"/>
      <c r="I90" s="21"/>
      <c r="J90" s="21"/>
      <c r="K90" s="21"/>
    </row>
    <row r="91" spans="1:11">
      <c r="A91" s="21"/>
      <c r="B91" s="21"/>
      <c r="C91" s="21"/>
      <c r="D91" s="21"/>
      <c r="E91" s="21"/>
      <c r="F91" s="21"/>
      <c r="G91" s="21"/>
      <c r="H91" s="21"/>
      <c r="I91" s="21"/>
      <c r="J91" s="21"/>
      <c r="K91" s="21"/>
    </row>
    <row r="92" spans="1:11">
      <c r="A92" s="21"/>
      <c r="B92" s="21"/>
      <c r="C92" s="21"/>
      <c r="D92" s="21"/>
      <c r="E92" s="21"/>
      <c r="F92" s="21"/>
      <c r="G92" s="21"/>
      <c r="H92" s="21"/>
      <c r="I92" s="21"/>
      <c r="J92" s="21"/>
      <c r="K92" s="21"/>
    </row>
    <row r="93" spans="1:11">
      <c r="A93" s="21"/>
      <c r="B93" s="21"/>
      <c r="C93" s="21"/>
      <c r="D93" s="21"/>
      <c r="E93" s="21"/>
      <c r="F93" s="21"/>
      <c r="G93" s="21"/>
      <c r="H93" s="21"/>
      <c r="I93" s="21"/>
      <c r="J93" s="21"/>
      <c r="K93" s="21"/>
    </row>
    <row r="94" spans="1:11">
      <c r="A94" s="21"/>
      <c r="B94" s="21"/>
      <c r="C94" s="21"/>
      <c r="D94" s="21"/>
      <c r="E94" s="21"/>
      <c r="F94" s="21"/>
      <c r="G94" s="21"/>
      <c r="H94" s="21"/>
      <c r="I94" s="21"/>
      <c r="J94" s="21"/>
      <c r="K94" s="21"/>
    </row>
  </sheetData>
  <sheetProtection formatColumns="0" formatRows="0" insertColumns="0" insertRows="0"/>
  <printOptions horizontalCentered="1"/>
  <pageMargins left="0.25" right="0.25" top="0.75" bottom="0.75" header="0.3" footer="0.3"/>
  <pageSetup orientation="portrait" r:id="rId1"/>
  <headerFooter scaleWithDoc="0">
    <oddHeader>&amp;C&amp;"-,Bold"&amp;20CoStar Sale Report - Subject</oddHead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37569" r:id="rId4" name="Button 1">
              <controlPr defaultSize="0" print="0" autoFill="0" autoPict="0" macro="[0]!PasteImageWithBorder_ExtraPage">
                <anchor moveWithCells="1" sizeWithCells="1">
                  <from>
                    <xdr:col>12</xdr:col>
                    <xdr:colOff>312420</xdr:colOff>
                    <xdr:row>3</xdr:row>
                    <xdr:rowOff>0</xdr:rowOff>
                  </from>
                  <to>
                    <xdr:col>15</xdr:col>
                    <xdr:colOff>304800</xdr:colOff>
                    <xdr:row>6</xdr:row>
                    <xdr:rowOff>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2777BF-4F0C-421B-9A6F-381836C966C3}">
  <sheetPr codeName="Sheet34">
    <tabColor theme="9" tint="-0.249977111117893"/>
  </sheetPr>
  <dimension ref="A1:O68"/>
  <sheetViews>
    <sheetView view="pageLayout" zoomScale="115" zoomScaleNormal="100" zoomScaleSheetLayoutView="115" zoomScalePageLayoutView="115" workbookViewId="0"/>
  </sheetViews>
  <sheetFormatPr defaultColWidth="8.88671875" defaultRowHeight="14.4"/>
  <cols>
    <col min="1" max="1" width="9.33203125" customWidth="1"/>
    <col min="15" max="15" width="9.33203125" customWidth="1"/>
  </cols>
  <sheetData>
    <row r="1" spans="1:15">
      <c r="A1" s="21"/>
      <c r="B1" s="21"/>
      <c r="C1" s="21"/>
      <c r="D1" s="21"/>
      <c r="E1" s="21"/>
      <c r="F1" s="21"/>
      <c r="G1" s="21"/>
      <c r="H1" s="21"/>
      <c r="I1" s="21"/>
      <c r="J1" s="21"/>
      <c r="K1" s="21"/>
      <c r="L1" s="21"/>
      <c r="M1" s="21"/>
      <c r="N1" s="21"/>
      <c r="O1" s="21"/>
    </row>
    <row r="2" spans="1:15">
      <c r="A2" s="21"/>
      <c r="B2" s="21"/>
      <c r="C2" s="21"/>
      <c r="D2" s="21"/>
      <c r="E2" s="21"/>
      <c r="F2" s="21"/>
      <c r="G2" s="21"/>
      <c r="H2" s="21"/>
      <c r="I2" s="21"/>
      <c r="J2" s="21"/>
      <c r="K2" s="21"/>
      <c r="L2" s="21"/>
      <c r="M2" s="21"/>
      <c r="N2" s="21"/>
      <c r="O2" s="21"/>
    </row>
    <row r="3" spans="1:15">
      <c r="A3" s="21"/>
      <c r="B3" s="21"/>
      <c r="C3" s="21"/>
      <c r="D3" s="21"/>
      <c r="E3" s="21"/>
      <c r="F3" s="21"/>
      <c r="G3" s="21"/>
      <c r="H3" s="21"/>
      <c r="I3" s="21"/>
      <c r="J3" s="21"/>
      <c r="K3" s="21"/>
      <c r="L3" s="21"/>
      <c r="M3" s="21"/>
      <c r="N3" s="21"/>
      <c r="O3" s="21"/>
    </row>
    <row r="4" spans="1:15">
      <c r="A4" s="21"/>
      <c r="B4" s="21"/>
      <c r="C4" s="21"/>
      <c r="D4" s="21"/>
      <c r="E4" s="21"/>
      <c r="F4" s="21"/>
      <c r="G4" s="21"/>
      <c r="H4" s="21"/>
      <c r="I4" s="21"/>
      <c r="J4" s="21"/>
      <c r="K4" s="21"/>
      <c r="L4" s="21"/>
      <c r="M4" s="21"/>
      <c r="N4" s="21"/>
      <c r="O4" s="21"/>
    </row>
    <row r="5" spans="1:15">
      <c r="A5" s="21"/>
      <c r="B5" s="21"/>
      <c r="C5" s="21"/>
      <c r="D5" s="21"/>
      <c r="E5" s="21"/>
      <c r="F5" s="21"/>
      <c r="G5" s="21"/>
      <c r="H5" s="21"/>
      <c r="I5" s="21"/>
      <c r="J5" s="21"/>
      <c r="K5" s="21"/>
      <c r="L5" s="21"/>
      <c r="M5" s="21"/>
      <c r="N5" s="21"/>
      <c r="O5" s="21"/>
    </row>
    <row r="6" spans="1:15">
      <c r="A6" s="21"/>
      <c r="B6" s="21"/>
      <c r="C6" s="21"/>
      <c r="D6" s="21"/>
      <c r="E6" s="21"/>
      <c r="F6" s="21"/>
      <c r="G6" s="21"/>
      <c r="H6" s="21"/>
      <c r="I6" s="21"/>
      <c r="J6" s="21"/>
      <c r="K6" s="21"/>
      <c r="L6" s="21"/>
      <c r="M6" s="21"/>
      <c r="N6" s="21"/>
      <c r="O6" s="21"/>
    </row>
    <row r="7" spans="1:15">
      <c r="A7" s="21"/>
      <c r="B7" s="21"/>
      <c r="C7" s="21"/>
      <c r="D7" s="21"/>
      <c r="E7" s="21"/>
      <c r="F7" s="21"/>
      <c r="G7" s="21"/>
      <c r="H7" s="21"/>
      <c r="I7" s="21"/>
      <c r="J7" s="21"/>
      <c r="K7" s="21"/>
      <c r="L7" s="21"/>
      <c r="M7" s="21"/>
      <c r="N7" s="21"/>
      <c r="O7" s="21"/>
    </row>
    <row r="8" spans="1:15">
      <c r="A8" s="21"/>
      <c r="B8" s="21"/>
      <c r="C8" s="21"/>
      <c r="D8" s="21"/>
      <c r="E8" s="21"/>
      <c r="F8" s="21"/>
      <c r="G8" s="21"/>
      <c r="H8" s="21"/>
      <c r="I8" s="21"/>
      <c r="J8" s="21"/>
      <c r="K8" s="21"/>
      <c r="L8" s="21"/>
      <c r="M8" s="21"/>
      <c r="N8" s="21"/>
      <c r="O8" s="21"/>
    </row>
    <row r="9" spans="1:15">
      <c r="A9" s="21"/>
      <c r="B9" s="21"/>
      <c r="C9" s="21"/>
      <c r="D9" s="21"/>
      <c r="E9" s="21"/>
      <c r="F9" s="21"/>
      <c r="G9" s="21"/>
      <c r="H9" s="21"/>
      <c r="I9" s="21"/>
      <c r="J9" s="21"/>
      <c r="K9" s="21"/>
      <c r="L9" s="21"/>
      <c r="M9" s="21"/>
      <c r="N9" s="21"/>
      <c r="O9" s="21"/>
    </row>
    <row r="10" spans="1:15">
      <c r="A10" s="21"/>
      <c r="B10" s="21"/>
      <c r="C10" s="21"/>
      <c r="D10" s="21"/>
      <c r="E10" s="21"/>
      <c r="F10" s="21"/>
      <c r="G10" s="21"/>
      <c r="H10" s="21"/>
      <c r="I10" s="21"/>
      <c r="J10" s="21"/>
      <c r="K10" s="21"/>
      <c r="L10" s="21"/>
      <c r="M10" s="21"/>
      <c r="N10" s="21"/>
      <c r="O10" s="21"/>
    </row>
    <row r="11" spans="1:15">
      <c r="A11" s="21"/>
      <c r="B11" s="21"/>
      <c r="C11" s="21"/>
      <c r="D11" s="21"/>
      <c r="E11" s="21"/>
      <c r="F11" s="21"/>
      <c r="G11" s="21"/>
      <c r="H11" s="21"/>
      <c r="I11" s="21"/>
      <c r="J11" s="21"/>
      <c r="K11" s="21"/>
      <c r="L11" s="21"/>
      <c r="M11" s="21"/>
      <c r="N11" s="21"/>
      <c r="O11" s="21"/>
    </row>
    <row r="12" spans="1:15">
      <c r="A12" s="21"/>
      <c r="B12" s="21"/>
      <c r="C12" s="21"/>
      <c r="D12" s="21"/>
      <c r="E12" s="21"/>
      <c r="F12" s="21"/>
      <c r="G12" s="21"/>
      <c r="H12" s="21"/>
      <c r="I12" s="21"/>
      <c r="J12" s="21"/>
      <c r="K12" s="21"/>
      <c r="L12" s="21"/>
      <c r="M12" s="21"/>
      <c r="N12" s="21"/>
      <c r="O12" s="21"/>
    </row>
    <row r="13" spans="1:15">
      <c r="A13" s="21"/>
      <c r="B13" s="21"/>
      <c r="C13" s="21"/>
      <c r="D13" s="21"/>
      <c r="E13" s="21"/>
      <c r="F13" s="21"/>
      <c r="G13" s="21"/>
      <c r="H13" s="21"/>
      <c r="I13" s="21"/>
      <c r="J13" s="21"/>
      <c r="K13" s="21"/>
      <c r="L13" s="21"/>
      <c r="M13" s="21"/>
      <c r="N13" s="21"/>
      <c r="O13" s="21"/>
    </row>
    <row r="14" spans="1:15">
      <c r="A14" s="21"/>
      <c r="B14" s="21"/>
      <c r="C14" s="21"/>
      <c r="D14" s="21"/>
      <c r="E14" s="21"/>
      <c r="F14" s="21"/>
      <c r="G14" s="21"/>
      <c r="H14" s="21"/>
      <c r="I14" s="21"/>
      <c r="J14" s="21"/>
      <c r="K14" s="21"/>
      <c r="L14" s="21"/>
      <c r="M14" s="21"/>
      <c r="N14" s="21"/>
      <c r="O14" s="21"/>
    </row>
    <row r="15" spans="1:15">
      <c r="A15" s="21"/>
      <c r="B15" s="21"/>
      <c r="C15" s="21"/>
      <c r="D15" s="21"/>
      <c r="E15" s="21"/>
      <c r="F15" s="21"/>
      <c r="G15" s="21"/>
      <c r="H15" s="21"/>
      <c r="I15" s="21"/>
      <c r="J15" s="21"/>
      <c r="K15" s="21"/>
      <c r="L15" s="21"/>
      <c r="M15" s="21"/>
      <c r="N15" s="21"/>
      <c r="O15" s="21"/>
    </row>
    <row r="16" spans="1:15">
      <c r="A16" s="21"/>
      <c r="B16" s="21"/>
      <c r="C16" s="21"/>
      <c r="D16" s="21"/>
      <c r="E16" s="21"/>
      <c r="F16" s="21"/>
      <c r="G16" s="21"/>
      <c r="H16" s="21"/>
      <c r="I16" s="21"/>
      <c r="J16" s="21"/>
      <c r="K16" s="21"/>
      <c r="L16" s="21"/>
      <c r="M16" s="21"/>
      <c r="N16" s="21"/>
      <c r="O16" s="21"/>
    </row>
    <row r="17" spans="1:15">
      <c r="A17" s="21"/>
      <c r="B17" s="21"/>
      <c r="C17" s="21"/>
      <c r="D17" s="21"/>
      <c r="E17" s="21"/>
      <c r="F17" s="21"/>
      <c r="G17" s="21"/>
      <c r="H17" s="21"/>
      <c r="I17" s="21"/>
      <c r="J17" s="21"/>
      <c r="K17" s="21"/>
      <c r="L17" s="21"/>
      <c r="M17" s="21"/>
      <c r="N17" s="21"/>
      <c r="O17" s="21"/>
    </row>
    <row r="18" spans="1:15">
      <c r="A18" s="21"/>
      <c r="B18" s="21"/>
      <c r="C18" s="21"/>
      <c r="D18" s="21"/>
      <c r="E18" s="21"/>
      <c r="F18" s="21"/>
      <c r="G18" s="21"/>
      <c r="H18" s="21"/>
      <c r="I18" s="21"/>
      <c r="J18" s="21"/>
      <c r="K18" s="21"/>
      <c r="L18" s="21"/>
      <c r="M18" s="21"/>
      <c r="N18" s="21"/>
      <c r="O18" s="21"/>
    </row>
    <row r="19" spans="1:15">
      <c r="A19" s="21"/>
      <c r="B19" s="21"/>
      <c r="C19" s="21"/>
      <c r="D19" s="21"/>
      <c r="E19" s="21"/>
      <c r="F19" s="21"/>
      <c r="G19" s="21"/>
      <c r="H19" s="21"/>
      <c r="I19" s="21"/>
      <c r="J19" s="21"/>
      <c r="K19" s="21"/>
      <c r="L19" s="21"/>
      <c r="M19" s="21"/>
      <c r="N19" s="21"/>
      <c r="O19" s="21"/>
    </row>
    <row r="20" spans="1:15">
      <c r="A20" s="21"/>
      <c r="B20" s="21"/>
      <c r="C20" s="21"/>
      <c r="D20" s="21"/>
      <c r="E20" s="21"/>
      <c r="F20" s="21"/>
      <c r="G20" s="21"/>
      <c r="H20" s="21"/>
      <c r="I20" s="21"/>
      <c r="J20" s="21"/>
      <c r="K20" s="21"/>
      <c r="L20" s="21"/>
      <c r="M20" s="21"/>
      <c r="N20" s="21"/>
      <c r="O20" s="21"/>
    </row>
    <row r="21" spans="1:15">
      <c r="A21" s="21"/>
      <c r="B21" s="21"/>
      <c r="C21" s="21"/>
      <c r="D21" s="21"/>
      <c r="E21" s="21"/>
      <c r="F21" s="21"/>
      <c r="G21" s="21"/>
      <c r="H21" s="21"/>
      <c r="I21" s="21"/>
      <c r="J21" s="21"/>
      <c r="K21" s="21"/>
      <c r="L21" s="21"/>
      <c r="M21" s="21"/>
      <c r="N21" s="21"/>
      <c r="O21" s="21"/>
    </row>
    <row r="22" spans="1:15">
      <c r="A22" s="21"/>
      <c r="B22" s="21"/>
      <c r="C22" s="21"/>
      <c r="D22" s="21"/>
      <c r="E22" s="21"/>
      <c r="F22" s="21"/>
      <c r="G22" s="21"/>
      <c r="H22" s="21"/>
      <c r="I22" s="21"/>
      <c r="J22" s="21"/>
      <c r="K22" s="21"/>
      <c r="L22" s="21"/>
      <c r="M22" s="21"/>
      <c r="N22" s="21"/>
      <c r="O22" s="21"/>
    </row>
    <row r="23" spans="1:15">
      <c r="A23" s="21"/>
      <c r="B23" s="21"/>
      <c r="C23" s="21"/>
      <c r="D23" s="21"/>
      <c r="E23" s="21"/>
      <c r="F23" s="21"/>
      <c r="G23" s="21"/>
      <c r="H23" s="21"/>
      <c r="I23" s="21"/>
      <c r="J23" s="21"/>
      <c r="K23" s="21"/>
      <c r="L23" s="21"/>
      <c r="M23" s="21"/>
      <c r="N23" s="21"/>
      <c r="O23" s="21"/>
    </row>
    <row r="24" spans="1:15">
      <c r="A24" s="21"/>
      <c r="B24" s="21"/>
      <c r="C24" s="21"/>
      <c r="D24" s="21"/>
      <c r="E24" s="21"/>
      <c r="F24" s="21"/>
      <c r="G24" s="21"/>
      <c r="H24" s="21"/>
      <c r="I24" s="21"/>
      <c r="J24" s="21"/>
      <c r="K24" s="21"/>
      <c r="L24" s="21"/>
      <c r="M24" s="21"/>
      <c r="N24" s="21"/>
      <c r="O24" s="21"/>
    </row>
    <row r="25" spans="1:15">
      <c r="A25" s="21"/>
      <c r="B25" s="21"/>
      <c r="C25" s="21"/>
      <c r="D25" s="21"/>
      <c r="E25" s="21"/>
      <c r="F25" s="21"/>
      <c r="G25" s="21"/>
      <c r="H25" s="21"/>
      <c r="I25" s="21"/>
      <c r="J25" s="21"/>
      <c r="K25" s="21"/>
      <c r="L25" s="21"/>
      <c r="M25" s="21"/>
      <c r="N25" s="21"/>
      <c r="O25" s="21"/>
    </row>
    <row r="26" spans="1:15">
      <c r="A26" s="21"/>
      <c r="B26" s="21"/>
      <c r="C26" s="21"/>
      <c r="D26" s="21"/>
      <c r="E26" s="21"/>
      <c r="F26" s="21"/>
      <c r="G26" s="21"/>
      <c r="H26" s="21"/>
      <c r="I26" s="21"/>
      <c r="J26" s="21"/>
      <c r="K26" s="21"/>
      <c r="L26" s="21"/>
      <c r="M26" s="21"/>
      <c r="N26" s="21"/>
      <c r="O26" s="21"/>
    </row>
    <row r="27" spans="1:15">
      <c r="A27" s="21"/>
      <c r="B27" s="21"/>
      <c r="C27" s="21"/>
      <c r="D27" s="21"/>
      <c r="E27" s="21"/>
      <c r="F27" s="21"/>
      <c r="G27" s="21"/>
      <c r="H27" s="21"/>
      <c r="I27" s="21"/>
      <c r="J27" s="21"/>
      <c r="K27" s="21"/>
      <c r="L27" s="21"/>
      <c r="M27" s="21"/>
      <c r="N27" s="21"/>
      <c r="O27" s="21"/>
    </row>
    <row r="28" spans="1:15">
      <c r="A28" s="21"/>
      <c r="B28" s="21"/>
      <c r="C28" s="21"/>
      <c r="D28" s="21"/>
      <c r="E28" s="21"/>
      <c r="F28" s="21"/>
      <c r="G28" s="21"/>
      <c r="H28" s="21"/>
      <c r="I28" s="21"/>
      <c r="J28" s="21"/>
      <c r="K28" s="21"/>
      <c r="L28" s="21"/>
      <c r="M28" s="21"/>
      <c r="N28" s="21"/>
      <c r="O28" s="21"/>
    </row>
    <row r="29" spans="1:15">
      <c r="A29" s="21"/>
      <c r="B29" s="21"/>
      <c r="C29" s="21"/>
      <c r="D29" s="21"/>
      <c r="E29" s="21"/>
      <c r="F29" s="21"/>
      <c r="G29" s="21"/>
      <c r="H29" s="21"/>
      <c r="I29" s="21"/>
      <c r="J29" s="21"/>
      <c r="K29" s="21"/>
      <c r="L29" s="21"/>
      <c r="M29" s="21"/>
      <c r="N29" s="21"/>
      <c r="O29" s="21"/>
    </row>
    <row r="30" spans="1:15">
      <c r="A30" s="21"/>
      <c r="B30" s="21"/>
      <c r="C30" s="21"/>
      <c r="D30" s="21"/>
      <c r="E30" s="21"/>
      <c r="F30" s="21"/>
      <c r="G30" s="21"/>
      <c r="H30" s="21"/>
      <c r="I30" s="21"/>
      <c r="J30" s="21"/>
      <c r="K30" s="21"/>
      <c r="L30" s="21"/>
      <c r="M30" s="21"/>
      <c r="N30" s="21"/>
      <c r="O30" s="21"/>
    </row>
    <row r="31" spans="1:15">
      <c r="A31" s="21"/>
      <c r="B31" s="21"/>
      <c r="C31" s="21"/>
      <c r="D31" s="21"/>
      <c r="E31" s="21"/>
      <c r="F31" s="21"/>
      <c r="G31" s="21"/>
      <c r="H31" s="21"/>
      <c r="I31" s="21"/>
      <c r="J31" s="21"/>
      <c r="K31" s="21"/>
      <c r="L31" s="21"/>
      <c r="M31" s="21"/>
      <c r="N31" s="21"/>
      <c r="O31" s="21"/>
    </row>
    <row r="32" spans="1:15">
      <c r="A32" s="21"/>
      <c r="B32" s="21"/>
      <c r="C32" s="21"/>
      <c r="D32" s="21"/>
      <c r="E32" s="21"/>
      <c r="F32" s="21"/>
      <c r="G32" s="21"/>
      <c r="H32" s="21"/>
      <c r="I32" s="21"/>
      <c r="J32" s="21"/>
      <c r="K32" s="21"/>
      <c r="L32" s="21"/>
      <c r="M32" s="21"/>
      <c r="N32" s="21"/>
      <c r="O32" s="21"/>
    </row>
    <row r="33" spans="1:15">
      <c r="A33" s="21"/>
      <c r="B33" s="21"/>
      <c r="C33" s="21"/>
      <c r="D33" s="21"/>
      <c r="E33" s="21"/>
      <c r="F33" s="21"/>
      <c r="G33" s="21"/>
      <c r="H33" s="21"/>
      <c r="I33" s="21"/>
      <c r="J33" s="21"/>
      <c r="K33" s="21"/>
      <c r="L33" s="21"/>
      <c r="M33" s="21"/>
      <c r="N33" s="21"/>
      <c r="O33" s="21"/>
    </row>
    <row r="34" spans="1:15">
      <c r="A34" s="21"/>
      <c r="B34" s="21"/>
      <c r="C34" s="21"/>
      <c r="D34" s="21"/>
      <c r="E34" s="21"/>
      <c r="F34" s="21"/>
      <c r="G34" s="21"/>
      <c r="H34" s="21"/>
      <c r="I34" s="21"/>
      <c r="J34" s="21"/>
      <c r="K34" s="21"/>
      <c r="L34" s="21"/>
      <c r="M34" s="21"/>
      <c r="N34" s="21"/>
      <c r="O34" s="21"/>
    </row>
    <row r="35" spans="1:15">
      <c r="A35" s="21"/>
      <c r="B35" s="21"/>
      <c r="C35" s="21"/>
      <c r="D35" s="21"/>
      <c r="E35" s="21"/>
      <c r="F35" s="21"/>
      <c r="G35" s="21"/>
      <c r="H35" s="21"/>
      <c r="I35" s="21"/>
      <c r="J35" s="21"/>
      <c r="K35" s="21"/>
      <c r="L35" s="21"/>
      <c r="M35" s="21"/>
      <c r="N35" s="21"/>
      <c r="O35" s="21"/>
    </row>
    <row r="36" spans="1:15">
      <c r="A36" s="21"/>
      <c r="B36" s="21"/>
      <c r="C36" s="21"/>
      <c r="D36" s="21"/>
      <c r="E36" s="21"/>
      <c r="F36" s="21"/>
      <c r="G36" s="21"/>
      <c r="H36" s="21"/>
      <c r="I36" s="21"/>
      <c r="J36" s="21"/>
      <c r="K36" s="21"/>
      <c r="L36" s="21"/>
      <c r="M36" s="21"/>
      <c r="N36" s="21"/>
      <c r="O36" s="21"/>
    </row>
    <row r="37" spans="1:15">
      <c r="A37" s="21"/>
      <c r="B37" s="21"/>
      <c r="C37" s="21"/>
      <c r="D37" s="21"/>
      <c r="E37" s="21"/>
      <c r="F37" s="21"/>
      <c r="G37" s="21"/>
      <c r="H37" s="21"/>
      <c r="I37" s="21"/>
      <c r="J37" s="21"/>
      <c r="K37" s="21"/>
      <c r="L37" s="21"/>
      <c r="M37" s="21"/>
      <c r="N37" s="21"/>
      <c r="O37" s="21"/>
    </row>
    <row r="38" spans="1:15">
      <c r="A38" s="21"/>
      <c r="B38" s="21"/>
      <c r="C38" s="21"/>
      <c r="D38" s="21"/>
      <c r="E38" s="21"/>
      <c r="F38" s="21"/>
      <c r="G38" s="21"/>
      <c r="H38" s="21"/>
      <c r="I38" s="21"/>
      <c r="J38" s="21"/>
      <c r="K38" s="21"/>
      <c r="L38" s="21"/>
      <c r="M38" s="21"/>
      <c r="N38" s="21"/>
      <c r="O38" s="21"/>
    </row>
    <row r="39" spans="1:15">
      <c r="A39" s="21"/>
      <c r="B39" s="21"/>
      <c r="C39" s="21"/>
      <c r="D39" s="21"/>
      <c r="E39" s="21"/>
      <c r="F39" s="21"/>
      <c r="G39" s="21"/>
      <c r="H39" s="21"/>
      <c r="I39" s="21"/>
      <c r="J39" s="21"/>
      <c r="K39" s="21"/>
      <c r="L39" s="21"/>
      <c r="M39" s="21"/>
      <c r="N39" s="21"/>
      <c r="O39" s="21"/>
    </row>
    <row r="40" spans="1:15">
      <c r="A40" s="21"/>
      <c r="B40" s="21"/>
      <c r="C40" s="21"/>
      <c r="D40" s="21"/>
      <c r="E40" s="21"/>
      <c r="F40" s="21"/>
      <c r="G40" s="21"/>
      <c r="H40" s="21"/>
      <c r="I40" s="21"/>
      <c r="J40" s="21"/>
      <c r="K40" s="21"/>
      <c r="L40" s="21"/>
      <c r="M40" s="21"/>
      <c r="N40" s="21"/>
      <c r="O40" s="21"/>
    </row>
    <row r="41" spans="1:15">
      <c r="A41" s="21"/>
      <c r="B41" s="21"/>
      <c r="C41" s="21"/>
      <c r="D41" s="21"/>
      <c r="E41" s="21"/>
      <c r="F41" s="21"/>
      <c r="G41" s="21"/>
      <c r="H41" s="21"/>
      <c r="I41" s="21"/>
      <c r="J41" s="21"/>
      <c r="K41" s="21"/>
      <c r="L41" s="21"/>
      <c r="M41" s="21"/>
      <c r="N41" s="21"/>
      <c r="O41" s="21"/>
    </row>
    <row r="42" spans="1:15">
      <c r="A42" s="21"/>
      <c r="B42" s="21"/>
      <c r="C42" s="21"/>
      <c r="D42" s="21"/>
      <c r="E42" s="21"/>
      <c r="F42" s="21"/>
      <c r="G42" s="21"/>
      <c r="H42" s="21"/>
      <c r="I42" s="21"/>
      <c r="J42" s="21"/>
      <c r="K42" s="21"/>
      <c r="L42" s="21"/>
      <c r="M42" s="21"/>
      <c r="N42" s="21"/>
      <c r="O42" s="21"/>
    </row>
    <row r="43" spans="1:15">
      <c r="A43" s="21"/>
      <c r="B43" s="21"/>
      <c r="C43" s="21"/>
      <c r="D43" s="21"/>
      <c r="E43" s="21"/>
      <c r="F43" s="21"/>
      <c r="G43" s="21"/>
      <c r="H43" s="21"/>
      <c r="I43" s="21"/>
      <c r="J43" s="21"/>
      <c r="K43" s="21"/>
      <c r="L43" s="21"/>
      <c r="M43" s="21"/>
      <c r="N43" s="21"/>
      <c r="O43" s="21"/>
    </row>
    <row r="44" spans="1:15">
      <c r="A44" s="21"/>
      <c r="B44" s="21"/>
      <c r="C44" s="21"/>
      <c r="D44" s="21"/>
      <c r="E44" s="21"/>
      <c r="F44" s="21"/>
      <c r="G44" s="21"/>
      <c r="H44" s="21"/>
      <c r="I44" s="21"/>
      <c r="J44" s="21"/>
      <c r="K44" s="21"/>
      <c r="L44" s="21"/>
      <c r="M44" s="21"/>
      <c r="N44" s="21"/>
      <c r="O44" s="21"/>
    </row>
    <row r="45" spans="1:15">
      <c r="A45" s="21"/>
      <c r="B45" s="21"/>
      <c r="C45" s="21"/>
      <c r="D45" s="21"/>
      <c r="E45" s="21"/>
      <c r="F45" s="21"/>
      <c r="G45" s="21"/>
      <c r="H45" s="21"/>
      <c r="I45" s="21"/>
      <c r="J45" s="21"/>
      <c r="K45" s="21"/>
      <c r="L45" s="21"/>
      <c r="M45" s="21"/>
      <c r="N45" s="21"/>
      <c r="O45" s="21"/>
    </row>
    <row r="46" spans="1:15">
      <c r="A46" s="21"/>
      <c r="B46" s="21"/>
      <c r="C46" s="21"/>
      <c r="D46" s="21"/>
      <c r="E46" s="21"/>
      <c r="F46" s="21"/>
      <c r="G46" s="21"/>
      <c r="H46" s="21"/>
      <c r="I46" s="21"/>
      <c r="J46" s="21"/>
      <c r="K46" s="21"/>
      <c r="L46" s="21"/>
      <c r="M46" s="21"/>
      <c r="N46" s="21"/>
      <c r="O46" s="21"/>
    </row>
    <row r="47" spans="1:15">
      <c r="A47" s="21"/>
      <c r="B47" s="21"/>
      <c r="C47" s="21"/>
      <c r="D47" s="21"/>
      <c r="E47" s="21"/>
      <c r="F47" s="21"/>
      <c r="G47" s="21"/>
      <c r="H47" s="21"/>
      <c r="I47" s="21"/>
      <c r="J47" s="21"/>
      <c r="K47" s="21"/>
      <c r="L47" s="21"/>
      <c r="M47" s="21"/>
      <c r="N47" s="21"/>
      <c r="O47" s="21"/>
    </row>
    <row r="48" spans="1:15">
      <c r="A48" s="21"/>
      <c r="B48" s="21"/>
      <c r="C48" s="21"/>
      <c r="D48" s="21"/>
      <c r="E48" s="21"/>
      <c r="F48" s="21"/>
      <c r="G48" s="21"/>
      <c r="H48" s="21"/>
      <c r="I48" s="21"/>
      <c r="J48" s="21"/>
      <c r="K48" s="21"/>
      <c r="L48" s="21"/>
      <c r="M48" s="21"/>
      <c r="N48" s="21"/>
      <c r="O48" s="21"/>
    </row>
    <row r="49" spans="1:15">
      <c r="A49" s="21"/>
      <c r="B49" s="21"/>
      <c r="C49" s="21"/>
      <c r="D49" s="21"/>
      <c r="E49" s="21"/>
      <c r="F49" s="21"/>
      <c r="G49" s="21"/>
      <c r="H49" s="21"/>
      <c r="I49" s="21"/>
      <c r="J49" s="21"/>
      <c r="K49" s="21"/>
      <c r="L49" s="21"/>
      <c r="M49" s="21"/>
      <c r="N49" s="21"/>
      <c r="O49" s="21"/>
    </row>
    <row r="50" spans="1:15">
      <c r="A50" s="21"/>
      <c r="B50" s="21"/>
      <c r="C50" s="21"/>
      <c r="D50" s="21"/>
      <c r="E50" s="21"/>
      <c r="F50" s="21"/>
      <c r="G50" s="21"/>
      <c r="H50" s="21"/>
      <c r="I50" s="21"/>
      <c r="J50" s="21"/>
      <c r="K50" s="21"/>
      <c r="L50" s="21"/>
      <c r="M50" s="21"/>
      <c r="N50" s="21"/>
      <c r="O50" s="21"/>
    </row>
    <row r="51" spans="1:15">
      <c r="A51" s="21"/>
      <c r="B51" s="21"/>
      <c r="C51" s="21"/>
      <c r="D51" s="21"/>
      <c r="E51" s="21"/>
      <c r="F51" s="21"/>
      <c r="G51" s="21"/>
      <c r="H51" s="21"/>
      <c r="I51" s="21"/>
      <c r="J51" s="21"/>
      <c r="K51" s="21"/>
      <c r="L51" s="21"/>
      <c r="M51" s="21"/>
      <c r="N51" s="21"/>
      <c r="O51" s="21"/>
    </row>
    <row r="52" spans="1:15">
      <c r="A52" s="21"/>
      <c r="B52" s="21"/>
      <c r="C52" s="21"/>
      <c r="D52" s="21"/>
      <c r="E52" s="21"/>
      <c r="F52" s="21"/>
      <c r="G52" s="21"/>
      <c r="H52" s="21"/>
      <c r="I52" s="21"/>
      <c r="J52" s="21"/>
      <c r="K52" s="21"/>
      <c r="L52" s="21"/>
      <c r="M52" s="21"/>
      <c r="N52" s="21"/>
      <c r="O52" s="21"/>
    </row>
    <row r="53" spans="1:15">
      <c r="A53" s="21"/>
      <c r="B53" s="21"/>
      <c r="C53" s="21"/>
      <c r="D53" s="21"/>
      <c r="E53" s="21"/>
      <c r="F53" s="21"/>
      <c r="G53" s="21"/>
      <c r="H53" s="21"/>
      <c r="I53" s="21"/>
      <c r="J53" s="21"/>
      <c r="K53" s="21"/>
      <c r="L53" s="21"/>
      <c r="M53" s="21"/>
      <c r="N53" s="21"/>
      <c r="O53" s="21"/>
    </row>
    <row r="54" spans="1:15">
      <c r="A54" s="21"/>
      <c r="B54" s="21"/>
      <c r="C54" s="21"/>
      <c r="D54" s="21"/>
      <c r="E54" s="21"/>
      <c r="F54" s="21"/>
      <c r="G54" s="21"/>
      <c r="H54" s="21"/>
      <c r="I54" s="21"/>
      <c r="J54" s="21"/>
      <c r="K54" s="21"/>
      <c r="L54" s="21"/>
      <c r="M54" s="21"/>
      <c r="N54" s="21"/>
      <c r="O54" s="21"/>
    </row>
    <row r="55" spans="1:15">
      <c r="A55" s="21"/>
      <c r="B55" s="21"/>
      <c r="C55" s="21"/>
      <c r="D55" s="21"/>
      <c r="E55" s="21"/>
      <c r="F55" s="21"/>
      <c r="G55" s="21"/>
      <c r="H55" s="21"/>
      <c r="I55" s="21"/>
      <c r="J55" s="21"/>
      <c r="K55" s="21"/>
      <c r="L55" s="21"/>
      <c r="M55" s="21"/>
      <c r="N55" s="21"/>
      <c r="O55" s="21"/>
    </row>
    <row r="56" spans="1:15">
      <c r="A56" s="21"/>
      <c r="B56" s="21"/>
      <c r="C56" s="21"/>
      <c r="D56" s="21"/>
      <c r="E56" s="21"/>
      <c r="F56" s="21"/>
      <c r="G56" s="21"/>
      <c r="H56" s="21"/>
      <c r="I56" s="21"/>
      <c r="J56" s="21"/>
      <c r="K56" s="21"/>
      <c r="L56" s="21"/>
      <c r="M56" s="21"/>
      <c r="N56" s="21"/>
      <c r="O56" s="21"/>
    </row>
    <row r="57" spans="1:15">
      <c r="A57" s="21"/>
      <c r="B57" s="21"/>
      <c r="C57" s="21"/>
      <c r="D57" s="21"/>
      <c r="E57" s="21"/>
      <c r="F57" s="21"/>
      <c r="G57" s="21"/>
      <c r="H57" s="21"/>
      <c r="I57" s="21"/>
      <c r="J57" s="21"/>
      <c r="K57" s="21"/>
      <c r="L57" s="21"/>
      <c r="M57" s="21"/>
      <c r="N57" s="21"/>
      <c r="O57" s="21"/>
    </row>
    <row r="58" spans="1:15">
      <c r="A58" s="21"/>
      <c r="B58" s="21"/>
      <c r="C58" s="21"/>
      <c r="D58" s="21"/>
      <c r="E58" s="21"/>
      <c r="F58" s="21"/>
      <c r="G58" s="21"/>
      <c r="H58" s="21"/>
      <c r="I58" s="21"/>
      <c r="J58" s="21"/>
      <c r="K58" s="21"/>
      <c r="L58" s="21"/>
      <c r="M58" s="21"/>
      <c r="N58" s="21"/>
      <c r="O58" s="21"/>
    </row>
    <row r="59" spans="1:15">
      <c r="A59" s="21"/>
      <c r="B59" s="21"/>
      <c r="C59" s="21"/>
      <c r="D59" s="21"/>
      <c r="E59" s="21"/>
      <c r="F59" s="21"/>
      <c r="G59" s="21"/>
      <c r="H59" s="21"/>
      <c r="I59" s="21"/>
      <c r="J59" s="21"/>
      <c r="K59" s="21"/>
      <c r="L59" s="21"/>
      <c r="M59" s="21"/>
      <c r="N59" s="21"/>
      <c r="O59" s="21"/>
    </row>
    <row r="60" spans="1:15">
      <c r="A60" s="21"/>
      <c r="B60" s="21"/>
      <c r="C60" s="21"/>
      <c r="D60" s="21"/>
      <c r="E60" s="21"/>
      <c r="F60" s="21"/>
      <c r="G60" s="21"/>
      <c r="H60" s="21"/>
      <c r="I60" s="21"/>
      <c r="J60" s="21"/>
      <c r="K60" s="21"/>
      <c r="L60" s="21"/>
      <c r="M60" s="21"/>
      <c r="N60" s="21"/>
      <c r="O60" s="21"/>
    </row>
    <row r="61" spans="1:15">
      <c r="A61" s="21"/>
      <c r="B61" s="21"/>
      <c r="C61" s="21"/>
      <c r="D61" s="21"/>
      <c r="E61" s="21"/>
      <c r="F61" s="21"/>
      <c r="G61" s="21"/>
      <c r="H61" s="21"/>
      <c r="I61" s="21"/>
      <c r="J61" s="21"/>
      <c r="K61" s="21"/>
      <c r="L61" s="21"/>
      <c r="M61" s="21"/>
      <c r="N61" s="21"/>
      <c r="O61" s="21"/>
    </row>
    <row r="62" spans="1:15">
      <c r="A62" s="21"/>
      <c r="B62" s="21"/>
      <c r="C62" s="21"/>
      <c r="D62" s="21"/>
      <c r="E62" s="21"/>
      <c r="F62" s="21"/>
      <c r="G62" s="21"/>
      <c r="H62" s="21"/>
      <c r="I62" s="21"/>
      <c r="J62" s="21"/>
      <c r="K62" s="21"/>
      <c r="L62" s="21"/>
      <c r="M62" s="21"/>
      <c r="N62" s="21"/>
      <c r="O62" s="21"/>
    </row>
    <row r="63" spans="1:15">
      <c r="A63" s="21"/>
      <c r="B63" s="21"/>
      <c r="C63" s="21"/>
      <c r="D63" s="21"/>
      <c r="E63" s="21"/>
      <c r="F63" s="21"/>
      <c r="G63" s="21"/>
      <c r="H63" s="21"/>
      <c r="I63" s="21"/>
      <c r="J63" s="21"/>
      <c r="K63" s="21"/>
      <c r="L63" s="21"/>
      <c r="M63" s="21"/>
      <c r="N63" s="21"/>
      <c r="O63" s="21"/>
    </row>
    <row r="64" spans="1:15">
      <c r="A64" s="21"/>
      <c r="B64" s="21"/>
      <c r="C64" s="21"/>
      <c r="D64" s="21"/>
      <c r="E64" s="21"/>
      <c r="F64" s="21"/>
      <c r="G64" s="21"/>
      <c r="H64" s="21"/>
      <c r="I64" s="21"/>
      <c r="J64" s="21"/>
      <c r="K64" s="21"/>
      <c r="L64" s="21"/>
      <c r="M64" s="21"/>
      <c r="N64" s="21"/>
      <c r="O64" s="21"/>
    </row>
    <row r="65" spans="1:15">
      <c r="A65" s="21"/>
      <c r="B65" s="21"/>
      <c r="C65" s="21"/>
      <c r="D65" s="21"/>
      <c r="E65" s="21"/>
      <c r="F65" s="21"/>
      <c r="G65" s="21"/>
      <c r="H65" s="21"/>
      <c r="I65" s="21"/>
      <c r="J65" s="21"/>
      <c r="K65" s="21"/>
      <c r="L65" s="21"/>
      <c r="M65" s="21"/>
      <c r="N65" s="21"/>
      <c r="O65" s="21"/>
    </row>
    <row r="66" spans="1:15">
      <c r="A66" s="21"/>
      <c r="B66" s="21"/>
      <c r="C66" s="21"/>
      <c r="D66" s="21"/>
      <c r="E66" s="21"/>
      <c r="F66" s="21"/>
      <c r="G66" s="21"/>
      <c r="H66" s="21"/>
      <c r="I66" s="21"/>
      <c r="J66" s="21"/>
      <c r="K66" s="21"/>
      <c r="L66" s="21"/>
      <c r="M66" s="21"/>
      <c r="N66" s="21"/>
      <c r="O66" s="21"/>
    </row>
    <row r="67" spans="1:15">
      <c r="A67" s="21"/>
      <c r="B67" s="21"/>
      <c r="C67" s="21"/>
      <c r="D67" s="21"/>
      <c r="E67" s="21"/>
      <c r="F67" s="21"/>
      <c r="G67" s="21"/>
      <c r="H67" s="21"/>
      <c r="I67" s="21"/>
      <c r="J67" s="21"/>
      <c r="K67" s="21"/>
      <c r="L67" s="21"/>
      <c r="M67" s="21"/>
      <c r="N67" s="21"/>
      <c r="O67" s="21"/>
    </row>
    <row r="68" spans="1:15">
      <c r="A68" s="21"/>
      <c r="B68" s="21"/>
      <c r="C68" s="21"/>
      <c r="D68" s="21"/>
      <c r="E68" s="21"/>
      <c r="F68" s="21"/>
      <c r="G68" s="21"/>
      <c r="H68" s="21"/>
      <c r="I68" s="21"/>
      <c r="J68" s="21"/>
      <c r="K68" s="21"/>
      <c r="L68" s="21"/>
      <c r="M68" s="21"/>
      <c r="N68" s="21"/>
      <c r="O68" s="21"/>
    </row>
  </sheetData>
  <sheetProtection formatColumns="0" formatRows="0" insertColumns="0" insertRows="0"/>
  <printOptions horizontalCentered="1"/>
  <pageMargins left="0.25" right="0.25" top="0.75" bottom="0.75" header="0.3" footer="0.3"/>
  <pageSetup orientation="portrait" r:id="rId1"/>
  <headerFooter scaleWithDoc="0">
    <oddHeader>&amp;C&amp;"-,Bold"&amp;20Lease Comps</oddHead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36545" r:id="rId4" name="Button 1">
              <controlPr defaultSize="0" print="0" autoFill="0" autoPict="0" macro="[0]!PasteImageWithBorder_ExtraPage">
                <anchor moveWithCells="1" sizeWithCells="1">
                  <from>
                    <xdr:col>16</xdr:col>
                    <xdr:colOff>0</xdr:colOff>
                    <xdr:row>1</xdr:row>
                    <xdr:rowOff>7620</xdr:rowOff>
                  </from>
                  <to>
                    <xdr:col>19</xdr:col>
                    <xdr:colOff>0</xdr:colOff>
                    <xdr:row>4</xdr:row>
                    <xdr:rowOff>7620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C71C64-DD9E-48B3-8C70-0C287E97FBE6}">
  <sheetPr codeName="Sheet33">
    <tabColor theme="9" tint="-0.249977111117893"/>
  </sheetPr>
  <dimension ref="A1:K94"/>
  <sheetViews>
    <sheetView view="pageLayout" zoomScale="115" zoomScaleNormal="115" zoomScaleSheetLayoutView="55" zoomScalePageLayoutView="115" workbookViewId="0"/>
  </sheetViews>
  <sheetFormatPr defaultRowHeight="14.4"/>
  <cols>
    <col min="1" max="1" width="9.6640625" customWidth="1"/>
    <col min="11" max="11" width="9.6640625" customWidth="1"/>
  </cols>
  <sheetData>
    <row r="1" spans="1:11">
      <c r="A1" s="21"/>
      <c r="B1" s="21"/>
      <c r="C1" s="21"/>
      <c r="D1" s="21"/>
      <c r="E1" s="21"/>
      <c r="F1" s="21"/>
      <c r="G1" s="21"/>
      <c r="H1" s="21"/>
      <c r="I1" s="21"/>
      <c r="J1" s="21"/>
      <c r="K1" s="21"/>
    </row>
    <row r="2" spans="1:11">
      <c r="A2" s="21"/>
      <c r="B2" s="21"/>
      <c r="C2" s="21"/>
      <c r="D2" s="21"/>
      <c r="E2" s="21"/>
      <c r="F2" s="21"/>
      <c r="G2" s="21"/>
      <c r="H2" s="21"/>
      <c r="I2" s="21"/>
      <c r="J2" s="21"/>
      <c r="K2" s="21"/>
    </row>
    <row r="3" spans="1:11">
      <c r="A3" s="21"/>
      <c r="B3" s="21"/>
      <c r="C3" s="21"/>
      <c r="D3" s="21"/>
      <c r="E3" s="21"/>
      <c r="F3" s="21"/>
      <c r="G3" s="21"/>
      <c r="H3" s="21"/>
      <c r="I3" s="21"/>
      <c r="J3" s="21"/>
      <c r="K3" s="21"/>
    </row>
    <row r="4" spans="1:11">
      <c r="A4" s="21"/>
      <c r="B4" s="21"/>
      <c r="C4" s="21"/>
      <c r="D4" s="21"/>
      <c r="E4" s="21"/>
      <c r="F4" s="21"/>
      <c r="G4" s="21"/>
      <c r="H4" s="21"/>
      <c r="I4" s="21"/>
      <c r="J4" s="21"/>
      <c r="K4" s="21"/>
    </row>
    <row r="5" spans="1:11">
      <c r="A5" s="21"/>
      <c r="B5" s="21"/>
      <c r="C5" s="21"/>
      <c r="D5" s="21"/>
      <c r="E5" s="21"/>
      <c r="F5" s="21"/>
      <c r="G5" s="21"/>
      <c r="H5" s="21"/>
      <c r="I5" s="21"/>
      <c r="J5" s="21"/>
      <c r="K5" s="21"/>
    </row>
    <row r="6" spans="1:11">
      <c r="A6" s="21"/>
      <c r="B6" s="21"/>
      <c r="C6" s="21"/>
      <c r="D6" s="21"/>
      <c r="E6" s="21"/>
      <c r="F6" s="21"/>
      <c r="G6" s="21"/>
      <c r="H6" s="21"/>
      <c r="I6" s="21"/>
      <c r="J6" s="21"/>
      <c r="K6" s="21"/>
    </row>
    <row r="7" spans="1:11">
      <c r="A7" s="21"/>
      <c r="B7" s="21"/>
      <c r="C7" s="21"/>
      <c r="D7" s="21"/>
      <c r="E7" s="21"/>
      <c r="F7" s="21"/>
      <c r="G7" s="21"/>
      <c r="H7" s="21"/>
      <c r="I7" s="21"/>
      <c r="J7" s="21"/>
      <c r="K7" s="21"/>
    </row>
    <row r="8" spans="1:11">
      <c r="A8" s="21"/>
      <c r="B8" s="21"/>
      <c r="C8" s="21"/>
      <c r="D8" s="21"/>
      <c r="E8" s="21"/>
      <c r="F8" s="21"/>
      <c r="G8" s="21"/>
      <c r="H8" s="21"/>
      <c r="I8" s="21"/>
      <c r="J8" s="21"/>
      <c r="K8" s="21"/>
    </row>
    <row r="9" spans="1:11">
      <c r="A9" s="21"/>
      <c r="B9" s="21"/>
      <c r="C9" s="21"/>
      <c r="D9" s="21"/>
      <c r="E9" s="21"/>
      <c r="F9" s="21"/>
      <c r="G9" s="21"/>
      <c r="H9" s="21"/>
      <c r="I9" s="21"/>
      <c r="J9" s="21"/>
      <c r="K9" s="21"/>
    </row>
    <row r="10" spans="1:11">
      <c r="A10" s="21"/>
      <c r="B10" s="21"/>
      <c r="C10" s="21"/>
      <c r="D10" s="21"/>
      <c r="E10" s="21"/>
      <c r="F10" s="21"/>
      <c r="G10" s="21"/>
      <c r="H10" s="21"/>
      <c r="I10" s="21"/>
      <c r="J10" s="21"/>
      <c r="K10" s="21"/>
    </row>
    <row r="11" spans="1:11">
      <c r="A11" s="21"/>
      <c r="B11" s="21"/>
      <c r="C11" s="21"/>
      <c r="D11" s="21"/>
      <c r="E11" s="21"/>
      <c r="F11" s="21"/>
      <c r="G11" s="21"/>
      <c r="H11" s="21"/>
      <c r="I11" s="21"/>
      <c r="J11" s="21"/>
      <c r="K11" s="21"/>
    </row>
    <row r="12" spans="1:11">
      <c r="A12" s="21"/>
      <c r="B12" s="21"/>
      <c r="C12" s="21"/>
      <c r="D12" s="21"/>
      <c r="E12" s="21"/>
      <c r="F12" s="21"/>
      <c r="G12" s="21"/>
      <c r="H12" s="21"/>
      <c r="I12" s="21"/>
      <c r="J12" s="21"/>
      <c r="K12" s="21"/>
    </row>
    <row r="13" spans="1:11">
      <c r="A13" s="21"/>
      <c r="B13" s="21"/>
      <c r="C13" s="21"/>
      <c r="D13" s="21"/>
      <c r="E13" s="21"/>
      <c r="F13" s="21"/>
      <c r="G13" s="21"/>
      <c r="H13" s="21"/>
      <c r="I13" s="21"/>
      <c r="J13" s="21"/>
      <c r="K13" s="21"/>
    </row>
    <row r="14" spans="1:11">
      <c r="A14" s="21"/>
      <c r="B14" s="21"/>
      <c r="C14" s="21"/>
      <c r="D14" s="21"/>
      <c r="E14" s="21"/>
      <c r="F14" s="21"/>
      <c r="G14" s="21"/>
      <c r="H14" s="21"/>
      <c r="I14" s="21"/>
      <c r="J14" s="21"/>
      <c r="K14" s="21"/>
    </row>
    <row r="15" spans="1:11">
      <c r="A15" s="21"/>
      <c r="B15" s="21"/>
      <c r="C15" s="21"/>
      <c r="D15" s="21"/>
      <c r="E15" s="21"/>
      <c r="F15" s="21"/>
      <c r="G15" s="21"/>
      <c r="H15" s="21"/>
      <c r="I15" s="21"/>
      <c r="J15" s="21"/>
      <c r="K15" s="21"/>
    </row>
    <row r="16" spans="1:11">
      <c r="A16" s="21"/>
      <c r="B16" s="21"/>
      <c r="C16" s="21"/>
      <c r="D16" s="21"/>
      <c r="E16" s="21"/>
      <c r="F16" s="21"/>
      <c r="G16" s="21"/>
      <c r="H16" s="21"/>
      <c r="I16" s="21"/>
      <c r="J16" s="21"/>
      <c r="K16" s="21"/>
    </row>
    <row r="17" spans="1:11">
      <c r="A17" s="21"/>
      <c r="B17" s="21"/>
      <c r="C17" s="21"/>
      <c r="D17" s="21"/>
      <c r="E17" s="21"/>
      <c r="F17" s="21"/>
      <c r="G17" s="21"/>
      <c r="H17" s="21"/>
      <c r="I17" s="21"/>
      <c r="J17" s="21"/>
      <c r="K17" s="21"/>
    </row>
    <row r="18" spans="1:11">
      <c r="A18" s="21"/>
      <c r="B18" s="21"/>
      <c r="C18" s="21"/>
      <c r="D18" s="21"/>
      <c r="E18" s="21"/>
      <c r="F18" s="21"/>
      <c r="G18" s="21"/>
      <c r="H18" s="21"/>
      <c r="I18" s="21"/>
      <c r="J18" s="21"/>
      <c r="K18" s="21"/>
    </row>
    <row r="19" spans="1:11">
      <c r="A19" s="21"/>
      <c r="B19" s="21"/>
      <c r="C19" s="21"/>
      <c r="D19" s="21"/>
      <c r="E19" s="21"/>
      <c r="F19" s="21"/>
      <c r="G19" s="21"/>
      <c r="H19" s="21"/>
      <c r="I19" s="21"/>
      <c r="J19" s="21"/>
      <c r="K19" s="21"/>
    </row>
    <row r="20" spans="1:11">
      <c r="A20" s="21"/>
      <c r="B20" s="21"/>
      <c r="C20" s="21"/>
      <c r="D20" s="21"/>
      <c r="E20" s="21"/>
      <c r="F20" s="21"/>
      <c r="G20" s="21"/>
      <c r="H20" s="21"/>
      <c r="I20" s="21"/>
      <c r="J20" s="21"/>
      <c r="K20" s="21"/>
    </row>
    <row r="21" spans="1:11">
      <c r="A21" s="21"/>
      <c r="B21" s="21"/>
      <c r="C21" s="21"/>
      <c r="D21" s="21"/>
      <c r="E21" s="21"/>
      <c r="F21" s="21"/>
      <c r="G21" s="21"/>
      <c r="H21" s="21"/>
      <c r="I21" s="21"/>
      <c r="J21" s="21"/>
      <c r="K21" s="21"/>
    </row>
    <row r="22" spans="1:11">
      <c r="A22" s="21"/>
      <c r="B22" s="21"/>
      <c r="C22" s="21"/>
      <c r="D22" s="21"/>
      <c r="E22" s="21"/>
      <c r="F22" s="21"/>
      <c r="G22" s="21"/>
      <c r="H22" s="21"/>
      <c r="I22" s="21"/>
      <c r="J22" s="21"/>
      <c r="K22" s="21"/>
    </row>
    <row r="23" spans="1:11">
      <c r="A23" s="21"/>
      <c r="B23" s="21"/>
      <c r="C23" s="21"/>
      <c r="D23" s="21"/>
      <c r="E23" s="21"/>
      <c r="F23" s="21"/>
      <c r="G23" s="21"/>
      <c r="H23" s="21"/>
      <c r="I23" s="21"/>
      <c r="J23" s="21"/>
      <c r="K23" s="21"/>
    </row>
    <row r="24" spans="1:11">
      <c r="A24" s="21"/>
      <c r="B24" s="21"/>
      <c r="C24" s="21"/>
      <c r="D24" s="21"/>
      <c r="E24" s="21"/>
      <c r="F24" s="21"/>
      <c r="G24" s="21"/>
      <c r="H24" s="21"/>
      <c r="I24" s="21"/>
      <c r="J24" s="21"/>
      <c r="K24" s="21"/>
    </row>
    <row r="25" spans="1:11">
      <c r="A25" s="21"/>
      <c r="B25" s="21"/>
      <c r="C25" s="21"/>
      <c r="D25" s="21"/>
      <c r="E25" s="21"/>
      <c r="F25" s="21"/>
      <c r="G25" s="21"/>
      <c r="H25" s="21"/>
      <c r="I25" s="21"/>
      <c r="J25" s="21"/>
      <c r="K25" s="21"/>
    </row>
    <row r="26" spans="1:11">
      <c r="A26" s="21"/>
      <c r="B26" s="21"/>
      <c r="C26" s="21"/>
      <c r="D26" s="21"/>
      <c r="E26" s="21"/>
      <c r="F26" s="21"/>
      <c r="G26" s="21"/>
      <c r="H26" s="21"/>
      <c r="I26" s="21"/>
      <c r="J26" s="21"/>
      <c r="K26" s="21"/>
    </row>
    <row r="27" spans="1:11">
      <c r="A27" s="21"/>
      <c r="B27" s="21"/>
      <c r="C27" s="21"/>
      <c r="D27" s="21"/>
      <c r="E27" s="21"/>
      <c r="F27" s="21"/>
      <c r="G27" s="21"/>
      <c r="H27" s="21"/>
      <c r="I27" s="21"/>
      <c r="J27" s="21"/>
      <c r="K27" s="21"/>
    </row>
    <row r="28" spans="1:11">
      <c r="A28" s="21"/>
      <c r="B28" s="21"/>
      <c r="C28" s="21"/>
      <c r="D28" s="21"/>
      <c r="E28" s="21"/>
      <c r="F28" s="21"/>
      <c r="G28" s="21"/>
      <c r="H28" s="21"/>
      <c r="I28" s="21"/>
      <c r="J28" s="21"/>
      <c r="K28" s="21"/>
    </row>
    <row r="29" spans="1:11">
      <c r="A29" s="21"/>
      <c r="B29" s="21"/>
      <c r="C29" s="21"/>
      <c r="D29" s="21"/>
      <c r="E29" s="21"/>
      <c r="F29" s="21"/>
      <c r="G29" s="21"/>
      <c r="H29" s="21"/>
      <c r="I29" s="21"/>
      <c r="J29" s="21"/>
      <c r="K29" s="21"/>
    </row>
    <row r="30" spans="1:11">
      <c r="A30" s="21"/>
      <c r="B30" s="21"/>
      <c r="C30" s="21"/>
      <c r="D30" s="21"/>
      <c r="E30" s="21"/>
      <c r="F30" s="21"/>
      <c r="G30" s="21"/>
      <c r="H30" s="21"/>
      <c r="I30" s="21"/>
      <c r="J30" s="21"/>
      <c r="K30" s="21"/>
    </row>
    <row r="31" spans="1:11">
      <c r="A31" s="21"/>
      <c r="B31" s="21"/>
      <c r="C31" s="21"/>
      <c r="D31" s="21"/>
      <c r="E31" s="21"/>
      <c r="F31" s="21"/>
      <c r="G31" s="21"/>
      <c r="H31" s="21"/>
      <c r="I31" s="21"/>
      <c r="J31" s="21"/>
      <c r="K31" s="21"/>
    </row>
    <row r="32" spans="1:11">
      <c r="A32" s="21"/>
      <c r="B32" s="21"/>
      <c r="C32" s="21"/>
      <c r="D32" s="21"/>
      <c r="E32" s="21"/>
      <c r="F32" s="21"/>
      <c r="G32" s="21"/>
      <c r="H32" s="21"/>
      <c r="I32" s="21"/>
      <c r="J32" s="21"/>
      <c r="K32" s="21"/>
    </row>
    <row r="33" spans="1:11">
      <c r="A33" s="21"/>
      <c r="B33" s="21"/>
      <c r="C33" s="21"/>
      <c r="D33" s="21"/>
      <c r="E33" s="21"/>
      <c r="F33" s="21"/>
      <c r="G33" s="21"/>
      <c r="H33" s="21"/>
      <c r="I33" s="21"/>
      <c r="J33" s="21"/>
      <c r="K33" s="21"/>
    </row>
    <row r="34" spans="1:11">
      <c r="A34" s="21"/>
      <c r="B34" s="21"/>
      <c r="C34" s="21"/>
      <c r="D34" s="21"/>
      <c r="E34" s="21"/>
      <c r="F34" s="21"/>
      <c r="G34" s="21"/>
      <c r="H34" s="21"/>
      <c r="I34" s="21"/>
      <c r="J34" s="21"/>
      <c r="K34" s="21"/>
    </row>
    <row r="35" spans="1:11">
      <c r="A35" s="21"/>
      <c r="B35" s="21"/>
      <c r="C35" s="21"/>
      <c r="D35" s="21"/>
      <c r="E35" s="21"/>
      <c r="F35" s="21"/>
      <c r="G35" s="21"/>
      <c r="H35" s="21"/>
      <c r="I35" s="21"/>
      <c r="J35" s="21"/>
      <c r="K35" s="21"/>
    </row>
    <row r="36" spans="1:11">
      <c r="A36" s="21"/>
      <c r="B36" s="21"/>
      <c r="C36" s="21"/>
      <c r="D36" s="21"/>
      <c r="E36" s="21"/>
      <c r="F36" s="21"/>
      <c r="G36" s="21"/>
      <c r="H36" s="21"/>
      <c r="I36" s="21"/>
      <c r="J36" s="21"/>
      <c r="K36" s="21"/>
    </row>
    <row r="37" spans="1:11">
      <c r="A37" s="21"/>
      <c r="B37" s="21"/>
      <c r="C37" s="21"/>
      <c r="D37" s="21"/>
      <c r="E37" s="21"/>
      <c r="F37" s="21"/>
      <c r="G37" s="21"/>
      <c r="H37" s="21"/>
      <c r="I37" s="21"/>
      <c r="J37" s="21"/>
      <c r="K37" s="21"/>
    </row>
    <row r="38" spans="1:11">
      <c r="A38" s="21"/>
      <c r="B38" s="21"/>
      <c r="C38" s="21"/>
      <c r="D38" s="21"/>
      <c r="E38" s="21"/>
      <c r="F38" s="21"/>
      <c r="G38" s="21"/>
      <c r="H38" s="21"/>
      <c r="I38" s="21"/>
      <c r="J38" s="21"/>
      <c r="K38" s="21"/>
    </row>
    <row r="39" spans="1:11">
      <c r="A39" s="21"/>
      <c r="B39" s="21"/>
      <c r="C39" s="21"/>
      <c r="D39" s="21"/>
      <c r="E39" s="21"/>
      <c r="F39" s="21"/>
      <c r="G39" s="21"/>
      <c r="H39" s="21"/>
      <c r="I39" s="21"/>
      <c r="J39" s="21"/>
      <c r="K39" s="21"/>
    </row>
    <row r="40" spans="1:11">
      <c r="A40" s="21"/>
      <c r="B40" s="21"/>
      <c r="C40" s="21"/>
      <c r="D40" s="21"/>
      <c r="E40" s="21"/>
      <c r="F40" s="21"/>
      <c r="G40" s="21"/>
      <c r="H40" s="21"/>
      <c r="I40" s="21"/>
      <c r="J40" s="21"/>
      <c r="K40" s="21"/>
    </row>
    <row r="41" spans="1:11">
      <c r="A41" s="21"/>
      <c r="B41" s="21"/>
      <c r="C41" s="21"/>
      <c r="D41" s="21"/>
      <c r="E41" s="21"/>
      <c r="F41" s="21"/>
      <c r="G41" s="21"/>
      <c r="H41" s="21"/>
      <c r="I41" s="21"/>
      <c r="J41" s="21"/>
      <c r="K41" s="21"/>
    </row>
    <row r="42" spans="1:11">
      <c r="A42" s="21"/>
      <c r="B42" s="21"/>
      <c r="C42" s="21"/>
      <c r="D42" s="21"/>
      <c r="E42" s="21"/>
      <c r="F42" s="21"/>
      <c r="G42" s="21"/>
      <c r="H42" s="21"/>
      <c r="I42" s="21"/>
      <c r="J42" s="21"/>
      <c r="K42" s="21"/>
    </row>
    <row r="43" spans="1:11">
      <c r="A43" s="21"/>
      <c r="B43" s="21"/>
      <c r="C43" s="21"/>
      <c r="D43" s="21"/>
      <c r="E43" s="21"/>
      <c r="F43" s="21"/>
      <c r="G43" s="21"/>
      <c r="H43" s="21"/>
      <c r="I43" s="21"/>
      <c r="J43" s="21"/>
      <c r="K43" s="21"/>
    </row>
    <row r="44" spans="1:11">
      <c r="A44" s="21"/>
      <c r="B44" s="21"/>
      <c r="C44" s="21"/>
      <c r="D44" s="21"/>
      <c r="E44" s="21"/>
      <c r="F44" s="21"/>
      <c r="G44" s="21"/>
      <c r="H44" s="21"/>
      <c r="I44" s="21"/>
      <c r="J44" s="21"/>
      <c r="K44" s="21"/>
    </row>
    <row r="45" spans="1:11">
      <c r="A45" s="21"/>
      <c r="B45" s="21"/>
      <c r="C45" s="21"/>
      <c r="D45" s="21"/>
      <c r="E45" s="21"/>
      <c r="F45" s="21"/>
      <c r="G45" s="21"/>
      <c r="H45" s="21"/>
      <c r="I45" s="21"/>
      <c r="J45" s="21"/>
      <c r="K45" s="21"/>
    </row>
    <row r="46" spans="1:11">
      <c r="A46" s="21"/>
      <c r="B46" s="21"/>
      <c r="C46" s="21"/>
      <c r="D46" s="21"/>
      <c r="E46" s="21"/>
      <c r="F46" s="21"/>
      <c r="G46" s="21"/>
      <c r="H46" s="21"/>
      <c r="I46" s="21"/>
      <c r="J46" s="21"/>
      <c r="K46" s="21"/>
    </row>
    <row r="47" spans="1:11">
      <c r="A47" s="21"/>
      <c r="B47" s="21"/>
      <c r="C47" s="21"/>
      <c r="D47" s="21"/>
      <c r="E47" s="21"/>
      <c r="F47" s="21"/>
      <c r="G47" s="21"/>
      <c r="H47" s="21"/>
      <c r="I47" s="21"/>
      <c r="J47" s="21"/>
      <c r="K47" s="21"/>
    </row>
    <row r="48" spans="1:11">
      <c r="A48" s="21"/>
      <c r="B48" s="21"/>
      <c r="C48" s="21"/>
      <c r="D48" s="21"/>
      <c r="E48" s="21"/>
      <c r="F48" s="21"/>
      <c r="G48" s="21"/>
      <c r="H48" s="21"/>
      <c r="I48" s="21"/>
      <c r="J48" s="21"/>
      <c r="K48" s="21"/>
    </row>
    <row r="49" spans="1:11">
      <c r="A49" s="21"/>
      <c r="B49" s="21"/>
      <c r="C49" s="21"/>
      <c r="D49" s="21"/>
      <c r="E49" s="21"/>
      <c r="F49" s="21"/>
      <c r="G49" s="21"/>
      <c r="H49" s="21"/>
      <c r="I49" s="21"/>
      <c r="J49" s="21"/>
      <c r="K49" s="21"/>
    </row>
    <row r="50" spans="1:11">
      <c r="A50" s="21"/>
      <c r="B50" s="21"/>
      <c r="C50" s="21"/>
      <c r="D50" s="21"/>
      <c r="E50" s="21"/>
      <c r="F50" s="21"/>
      <c r="G50" s="21"/>
      <c r="H50" s="21"/>
      <c r="I50" s="21"/>
      <c r="J50" s="21"/>
      <c r="K50" s="21"/>
    </row>
    <row r="51" spans="1:11">
      <c r="A51" s="21"/>
      <c r="B51" s="21"/>
      <c r="C51" s="21"/>
      <c r="D51" s="21"/>
      <c r="E51" s="21"/>
      <c r="F51" s="21"/>
      <c r="G51" s="21"/>
      <c r="H51" s="21"/>
      <c r="I51" s="21"/>
      <c r="J51" s="21"/>
      <c r="K51" s="21"/>
    </row>
    <row r="52" spans="1:11">
      <c r="A52" s="21"/>
      <c r="B52" s="21"/>
      <c r="C52" s="21"/>
      <c r="D52" s="21"/>
      <c r="E52" s="21"/>
      <c r="F52" s="21"/>
      <c r="G52" s="21"/>
      <c r="H52" s="21"/>
      <c r="I52" s="21"/>
      <c r="J52" s="21"/>
      <c r="K52" s="21"/>
    </row>
    <row r="53" spans="1:11">
      <c r="A53" s="21"/>
      <c r="B53" s="21"/>
      <c r="C53" s="21"/>
      <c r="D53" s="21"/>
      <c r="E53" s="21"/>
      <c r="F53" s="21"/>
      <c r="G53" s="21"/>
      <c r="H53" s="21"/>
      <c r="I53" s="21"/>
      <c r="J53" s="21"/>
      <c r="K53" s="21"/>
    </row>
    <row r="54" spans="1:11">
      <c r="A54" s="21"/>
      <c r="B54" s="21"/>
      <c r="C54" s="21"/>
      <c r="D54" s="21"/>
      <c r="E54" s="21"/>
      <c r="F54" s="21"/>
      <c r="G54" s="21"/>
      <c r="H54" s="21"/>
      <c r="I54" s="21"/>
      <c r="J54" s="21"/>
      <c r="K54" s="21"/>
    </row>
    <row r="55" spans="1:11">
      <c r="A55" s="21"/>
      <c r="B55" s="21"/>
      <c r="C55" s="21"/>
      <c r="D55" s="21"/>
      <c r="E55" s="21"/>
      <c r="F55" s="21"/>
      <c r="G55" s="21"/>
      <c r="H55" s="21"/>
      <c r="I55" s="21"/>
      <c r="J55" s="21"/>
      <c r="K55" s="21"/>
    </row>
    <row r="56" spans="1:11">
      <c r="A56" s="21"/>
      <c r="B56" s="21"/>
      <c r="C56" s="21"/>
      <c r="D56" s="21"/>
      <c r="E56" s="21"/>
      <c r="F56" s="21"/>
      <c r="G56" s="21"/>
      <c r="H56" s="21"/>
      <c r="I56" s="21"/>
      <c r="J56" s="21"/>
      <c r="K56" s="21"/>
    </row>
    <row r="57" spans="1:11">
      <c r="A57" s="21"/>
      <c r="B57" s="21"/>
      <c r="C57" s="21"/>
      <c r="D57" s="21"/>
      <c r="E57" s="21"/>
      <c r="F57" s="21"/>
      <c r="G57" s="21"/>
      <c r="H57" s="21"/>
      <c r="I57" s="21"/>
      <c r="J57" s="21"/>
      <c r="K57" s="21"/>
    </row>
    <row r="58" spans="1:11">
      <c r="A58" s="21"/>
      <c r="B58" s="21"/>
      <c r="C58" s="21"/>
      <c r="D58" s="21"/>
      <c r="E58" s="21"/>
      <c r="F58" s="21"/>
      <c r="G58" s="21"/>
      <c r="H58" s="21"/>
      <c r="I58" s="21"/>
      <c r="J58" s="21"/>
      <c r="K58" s="21"/>
    </row>
    <row r="59" spans="1:11">
      <c r="A59" s="21"/>
      <c r="B59" s="21"/>
      <c r="C59" s="21"/>
      <c r="D59" s="21"/>
      <c r="E59" s="21"/>
      <c r="F59" s="21"/>
      <c r="G59" s="21"/>
      <c r="H59" s="21"/>
      <c r="I59" s="21"/>
      <c r="J59" s="21"/>
      <c r="K59" s="21"/>
    </row>
    <row r="60" spans="1:11">
      <c r="A60" s="21"/>
      <c r="B60" s="21"/>
      <c r="C60" s="21"/>
      <c r="D60" s="21"/>
      <c r="E60" s="21"/>
      <c r="F60" s="21"/>
      <c r="G60" s="21"/>
      <c r="H60" s="21"/>
      <c r="I60" s="21"/>
      <c r="J60" s="21"/>
      <c r="K60" s="21"/>
    </row>
    <row r="61" spans="1:11">
      <c r="A61" s="21"/>
      <c r="B61" s="21"/>
      <c r="C61" s="21"/>
      <c r="D61" s="21"/>
      <c r="E61" s="21"/>
      <c r="F61" s="21"/>
      <c r="G61" s="21"/>
      <c r="H61" s="21"/>
      <c r="I61" s="21"/>
      <c r="J61" s="21"/>
      <c r="K61" s="21"/>
    </row>
    <row r="62" spans="1:11">
      <c r="A62" s="21"/>
      <c r="B62" s="21"/>
      <c r="C62" s="21"/>
      <c r="D62" s="21"/>
      <c r="E62" s="21"/>
      <c r="F62" s="21"/>
      <c r="G62" s="21"/>
      <c r="H62" s="21"/>
      <c r="I62" s="21"/>
      <c r="J62" s="21"/>
      <c r="K62" s="21"/>
    </row>
    <row r="63" spans="1:11">
      <c r="A63" s="21"/>
      <c r="B63" s="21"/>
      <c r="C63" s="21"/>
      <c r="D63" s="21"/>
      <c r="E63" s="21"/>
      <c r="F63" s="21"/>
      <c r="G63" s="21"/>
      <c r="H63" s="21"/>
      <c r="I63" s="21"/>
      <c r="J63" s="21"/>
      <c r="K63" s="21"/>
    </row>
    <row r="64" spans="1:11">
      <c r="A64" s="21"/>
      <c r="B64" s="21"/>
      <c r="C64" s="21"/>
      <c r="D64" s="21"/>
      <c r="E64" s="21"/>
      <c r="F64" s="21"/>
      <c r="G64" s="21"/>
      <c r="H64" s="21"/>
      <c r="I64" s="21"/>
      <c r="J64" s="21"/>
      <c r="K64" s="21"/>
    </row>
    <row r="65" spans="1:11">
      <c r="A65" s="21"/>
      <c r="B65" s="21"/>
      <c r="C65" s="21"/>
      <c r="D65" s="21"/>
      <c r="E65" s="21"/>
      <c r="F65" s="21"/>
      <c r="G65" s="21"/>
      <c r="H65" s="21"/>
      <c r="I65" s="21"/>
      <c r="J65" s="21"/>
      <c r="K65" s="21"/>
    </row>
    <row r="66" spans="1:11">
      <c r="A66" s="21"/>
      <c r="B66" s="21"/>
      <c r="C66" s="21"/>
      <c r="D66" s="21"/>
      <c r="E66" s="21"/>
      <c r="F66" s="21"/>
      <c r="G66" s="21"/>
      <c r="H66" s="21"/>
      <c r="I66" s="21"/>
      <c r="J66" s="21"/>
      <c r="K66" s="21"/>
    </row>
    <row r="67" spans="1:11">
      <c r="A67" s="21"/>
      <c r="B67" s="21"/>
      <c r="C67" s="21"/>
      <c r="D67" s="21"/>
      <c r="E67" s="21"/>
      <c r="F67" s="21"/>
      <c r="G67" s="21"/>
      <c r="H67" s="21"/>
      <c r="I67" s="21"/>
      <c r="J67" s="21"/>
      <c r="K67" s="21"/>
    </row>
    <row r="68" spans="1:11">
      <c r="A68" s="21"/>
      <c r="B68" s="21"/>
      <c r="C68" s="21"/>
      <c r="D68" s="21"/>
      <c r="E68" s="21"/>
      <c r="F68" s="21"/>
      <c r="G68" s="21"/>
      <c r="H68" s="21"/>
      <c r="I68" s="21"/>
      <c r="J68" s="21"/>
      <c r="K68" s="21"/>
    </row>
    <row r="69" spans="1:11">
      <c r="A69" s="21"/>
      <c r="B69" s="21"/>
      <c r="C69" s="21"/>
      <c r="D69" s="21"/>
      <c r="E69" s="21"/>
      <c r="F69" s="21"/>
      <c r="G69" s="21"/>
      <c r="H69" s="21"/>
      <c r="I69" s="21"/>
      <c r="J69" s="21"/>
      <c r="K69" s="21"/>
    </row>
    <row r="70" spans="1:11">
      <c r="A70" s="21"/>
      <c r="B70" s="21"/>
      <c r="C70" s="21"/>
      <c r="D70" s="21"/>
      <c r="E70" s="21"/>
      <c r="F70" s="21"/>
      <c r="G70" s="21"/>
      <c r="H70" s="21"/>
      <c r="I70" s="21"/>
      <c r="J70" s="21"/>
      <c r="K70" s="21"/>
    </row>
    <row r="71" spans="1:11">
      <c r="A71" s="21"/>
      <c r="B71" s="21"/>
      <c r="C71" s="21"/>
      <c r="D71" s="21"/>
      <c r="E71" s="21"/>
      <c r="F71" s="21"/>
      <c r="G71" s="21"/>
      <c r="H71" s="21"/>
      <c r="I71" s="21"/>
      <c r="J71" s="21"/>
      <c r="K71" s="21"/>
    </row>
    <row r="72" spans="1:11">
      <c r="A72" s="21"/>
      <c r="B72" s="21"/>
      <c r="C72" s="21"/>
      <c r="D72" s="21"/>
      <c r="E72" s="21"/>
      <c r="F72" s="21"/>
      <c r="G72" s="21"/>
      <c r="H72" s="21"/>
      <c r="I72" s="21"/>
      <c r="J72" s="21"/>
      <c r="K72" s="21"/>
    </row>
    <row r="73" spans="1:11">
      <c r="A73" s="21"/>
      <c r="B73" s="21"/>
      <c r="C73" s="21"/>
      <c r="D73" s="21"/>
      <c r="E73" s="21"/>
      <c r="F73" s="21"/>
      <c r="G73" s="21"/>
      <c r="H73" s="21"/>
      <c r="I73" s="21"/>
      <c r="J73" s="21"/>
      <c r="K73" s="21"/>
    </row>
    <row r="74" spans="1:11">
      <c r="A74" s="21"/>
      <c r="B74" s="21"/>
      <c r="C74" s="21"/>
      <c r="D74" s="21"/>
      <c r="E74" s="21"/>
      <c r="F74" s="21"/>
      <c r="G74" s="21"/>
      <c r="H74" s="21"/>
      <c r="I74" s="21"/>
      <c r="J74" s="21"/>
      <c r="K74" s="21"/>
    </row>
    <row r="75" spans="1:11">
      <c r="A75" s="21"/>
      <c r="B75" s="21"/>
      <c r="C75" s="21"/>
      <c r="D75" s="21"/>
      <c r="E75" s="21"/>
      <c r="F75" s="21"/>
      <c r="G75" s="21"/>
      <c r="H75" s="21"/>
      <c r="I75" s="21"/>
      <c r="J75" s="21"/>
      <c r="K75" s="21"/>
    </row>
    <row r="76" spans="1:11">
      <c r="A76" s="21"/>
      <c r="B76" s="21"/>
      <c r="C76" s="21"/>
      <c r="D76" s="21"/>
      <c r="E76" s="21"/>
      <c r="F76" s="21"/>
      <c r="G76" s="21"/>
      <c r="H76" s="21"/>
      <c r="I76" s="21"/>
      <c r="J76" s="21"/>
      <c r="K76" s="21"/>
    </row>
    <row r="77" spans="1:11">
      <c r="A77" s="21"/>
      <c r="B77" s="21"/>
      <c r="C77" s="21"/>
      <c r="D77" s="21"/>
      <c r="E77" s="21"/>
      <c r="F77" s="21"/>
      <c r="G77" s="21"/>
      <c r="H77" s="21"/>
      <c r="I77" s="21"/>
      <c r="J77" s="21"/>
      <c r="K77" s="21"/>
    </row>
    <row r="78" spans="1:11">
      <c r="A78" s="21"/>
      <c r="B78" s="21"/>
      <c r="C78" s="21"/>
      <c r="D78" s="21"/>
      <c r="E78" s="21"/>
      <c r="F78" s="21"/>
      <c r="G78" s="21"/>
      <c r="H78" s="21"/>
      <c r="I78" s="21"/>
      <c r="J78" s="21"/>
      <c r="K78" s="21"/>
    </row>
    <row r="79" spans="1:11">
      <c r="A79" s="21"/>
      <c r="B79" s="21"/>
      <c r="C79" s="21"/>
      <c r="D79" s="21"/>
      <c r="E79" s="21"/>
      <c r="F79" s="21"/>
      <c r="G79" s="21"/>
      <c r="H79" s="21"/>
      <c r="I79" s="21"/>
      <c r="J79" s="21"/>
      <c r="K79" s="21"/>
    </row>
    <row r="80" spans="1:11">
      <c r="A80" s="21"/>
      <c r="B80" s="21"/>
      <c r="C80" s="21"/>
      <c r="D80" s="21"/>
      <c r="E80" s="21"/>
      <c r="F80" s="21"/>
      <c r="G80" s="21"/>
      <c r="H80" s="21"/>
      <c r="I80" s="21"/>
      <c r="J80" s="21"/>
      <c r="K80" s="21"/>
    </row>
    <row r="81" spans="1:11">
      <c r="A81" s="21"/>
      <c r="B81" s="21"/>
      <c r="C81" s="21"/>
      <c r="D81" s="21"/>
      <c r="E81" s="21"/>
      <c r="F81" s="21"/>
      <c r="G81" s="21"/>
      <c r="H81" s="21"/>
      <c r="I81" s="21"/>
      <c r="J81" s="21"/>
      <c r="K81" s="21"/>
    </row>
    <row r="82" spans="1:11">
      <c r="A82" s="21"/>
      <c r="B82" s="21"/>
      <c r="C82" s="21"/>
      <c r="D82" s="21"/>
      <c r="E82" s="21"/>
      <c r="F82" s="21"/>
      <c r="G82" s="21"/>
      <c r="H82" s="21"/>
      <c r="I82" s="21"/>
      <c r="J82" s="21"/>
      <c r="K82" s="21"/>
    </row>
    <row r="83" spans="1:11">
      <c r="A83" s="21"/>
      <c r="B83" s="21"/>
      <c r="C83" s="21"/>
      <c r="D83" s="21"/>
      <c r="E83" s="21"/>
      <c r="F83" s="21"/>
      <c r="G83" s="21"/>
      <c r="H83" s="21"/>
      <c r="I83" s="21"/>
      <c r="J83" s="21"/>
      <c r="K83" s="21"/>
    </row>
    <row r="84" spans="1:11">
      <c r="A84" s="21"/>
      <c r="B84" s="21"/>
      <c r="C84" s="21"/>
      <c r="D84" s="21"/>
      <c r="E84" s="21"/>
      <c r="F84" s="21"/>
      <c r="G84" s="21"/>
      <c r="H84" s="21"/>
      <c r="I84" s="21"/>
      <c r="J84" s="21"/>
      <c r="K84" s="21"/>
    </row>
    <row r="85" spans="1:11">
      <c r="A85" s="21"/>
      <c r="B85" s="21"/>
      <c r="C85" s="21"/>
      <c r="D85" s="21"/>
      <c r="E85" s="21"/>
      <c r="F85" s="21"/>
      <c r="G85" s="21"/>
      <c r="H85" s="21"/>
      <c r="I85" s="21"/>
      <c r="J85" s="21"/>
      <c r="K85" s="21"/>
    </row>
    <row r="86" spans="1:11">
      <c r="A86" s="21"/>
      <c r="B86" s="21"/>
      <c r="C86" s="21"/>
      <c r="D86" s="21"/>
      <c r="E86" s="21"/>
      <c r="F86" s="21"/>
      <c r="G86" s="21"/>
      <c r="H86" s="21"/>
      <c r="I86" s="21"/>
      <c r="J86" s="21"/>
      <c r="K86" s="21"/>
    </row>
    <row r="87" spans="1:11">
      <c r="A87" s="21"/>
      <c r="B87" s="21"/>
      <c r="C87" s="21"/>
      <c r="D87" s="21"/>
      <c r="E87" s="21"/>
      <c r="F87" s="21"/>
      <c r="G87" s="21"/>
      <c r="H87" s="21"/>
      <c r="I87" s="21"/>
      <c r="J87" s="21"/>
      <c r="K87" s="21"/>
    </row>
    <row r="88" spans="1:11">
      <c r="A88" s="21"/>
      <c r="B88" s="21"/>
      <c r="C88" s="21"/>
      <c r="D88" s="21"/>
      <c r="E88" s="21"/>
      <c r="F88" s="21"/>
      <c r="G88" s="21"/>
      <c r="H88" s="21"/>
      <c r="I88" s="21"/>
      <c r="J88" s="21"/>
      <c r="K88" s="21"/>
    </row>
    <row r="89" spans="1:11">
      <c r="A89" s="21"/>
      <c r="B89" s="21"/>
      <c r="C89" s="21"/>
      <c r="D89" s="21"/>
      <c r="E89" s="21"/>
      <c r="F89" s="21"/>
      <c r="G89" s="21"/>
      <c r="H89" s="21"/>
      <c r="I89" s="21"/>
      <c r="J89" s="21"/>
      <c r="K89" s="21"/>
    </row>
    <row r="90" spans="1:11">
      <c r="A90" s="21"/>
      <c r="B90" s="21"/>
      <c r="C90" s="21"/>
      <c r="D90" s="21"/>
      <c r="E90" s="21"/>
      <c r="F90" s="21"/>
      <c r="G90" s="21"/>
      <c r="H90" s="21"/>
      <c r="I90" s="21"/>
      <c r="J90" s="21"/>
      <c r="K90" s="21"/>
    </row>
    <row r="91" spans="1:11">
      <c r="A91" s="21"/>
      <c r="B91" s="21"/>
      <c r="C91" s="21"/>
      <c r="D91" s="21"/>
      <c r="E91" s="21"/>
      <c r="F91" s="21"/>
      <c r="G91" s="21"/>
      <c r="H91" s="21"/>
      <c r="I91" s="21"/>
      <c r="J91" s="21"/>
      <c r="K91" s="21"/>
    </row>
    <row r="92" spans="1:11">
      <c r="A92" s="21"/>
      <c r="B92" s="21"/>
      <c r="C92" s="21"/>
      <c r="D92" s="21"/>
      <c r="E92" s="21"/>
      <c r="F92" s="21"/>
      <c r="G92" s="21"/>
      <c r="H92" s="21"/>
      <c r="I92" s="21"/>
      <c r="J92" s="21"/>
      <c r="K92" s="21"/>
    </row>
    <row r="93" spans="1:11">
      <c r="A93" s="21"/>
      <c r="B93" s="21"/>
      <c r="C93" s="21"/>
      <c r="D93" s="21"/>
      <c r="E93" s="21"/>
      <c r="F93" s="21"/>
      <c r="G93" s="21"/>
      <c r="H93" s="21"/>
      <c r="I93" s="21"/>
      <c r="J93" s="21"/>
      <c r="K93" s="21"/>
    </row>
    <row r="94" spans="1:11">
      <c r="A94" s="21"/>
      <c r="B94" s="21"/>
      <c r="C94" s="21"/>
      <c r="D94" s="21"/>
      <c r="E94" s="21"/>
      <c r="F94" s="21"/>
      <c r="G94" s="21"/>
      <c r="H94" s="21"/>
      <c r="I94" s="21"/>
      <c r="J94" s="21"/>
      <c r="K94" s="21"/>
    </row>
  </sheetData>
  <sheetProtection formatColumns="0" formatRows="0" insertColumns="0" insertRows="0"/>
  <printOptions horizontalCentered="1"/>
  <pageMargins left="0.25" right="0.25" top="0.75" bottom="0.75" header="0.3" footer="0.3"/>
  <pageSetup orientation="portrait" r:id="rId1"/>
  <headerFooter scaleWithDoc="0">
    <oddHeader>&amp;C&amp;"-,Bold"&amp;20Cap Rate</oddHead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PasteImageWithBorder_CAP">
                <anchor moveWithCells="1" sizeWithCells="1">
                  <from>
                    <xdr:col>12</xdr:col>
                    <xdr:colOff>312420</xdr:colOff>
                    <xdr:row>3</xdr:row>
                    <xdr:rowOff>0</xdr:rowOff>
                  </from>
                  <to>
                    <xdr:col>15</xdr:col>
                    <xdr:colOff>304800</xdr:colOff>
                    <xdr:row>6</xdr:row>
                    <xdr:rowOff>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387B55-CA3D-4F9C-9EE9-34DD9F90A68B}">
  <sheetPr codeName="Sheet57">
    <tabColor theme="9" tint="-0.249977111117893"/>
  </sheetPr>
  <dimension ref="A1:J35"/>
  <sheetViews>
    <sheetView showGridLines="0" view="pageLayout" zoomScale="85" zoomScaleNormal="100" zoomScaleSheetLayoutView="160" zoomScalePageLayoutView="85" workbookViewId="0">
      <selection sqref="A1:J1"/>
    </sheetView>
  </sheetViews>
  <sheetFormatPr defaultColWidth="9.109375" defaultRowHeight="13.2"/>
  <cols>
    <col min="1" max="1" width="6" style="190" customWidth="1"/>
    <col min="2" max="2" width="8.6640625" style="190" customWidth="1"/>
    <col min="3" max="3" width="17.33203125" style="190" customWidth="1"/>
    <col min="4" max="4" width="12" style="190" customWidth="1"/>
    <col min="5" max="5" width="9.44140625" style="190" customWidth="1"/>
    <col min="6" max="6" width="9.33203125" style="190" bestFit="1" customWidth="1"/>
    <col min="7" max="7" width="8.33203125" style="190" customWidth="1"/>
    <col min="8" max="8" width="14.88671875" style="190" customWidth="1"/>
    <col min="9" max="9" width="13.109375" style="190" customWidth="1"/>
    <col min="10" max="16384" width="9.109375" style="190"/>
  </cols>
  <sheetData>
    <row r="1" spans="1:10" ht="21">
      <c r="A1" s="1002" t="s">
        <v>194</v>
      </c>
      <c r="B1" s="1003"/>
      <c r="C1" s="1003"/>
      <c r="D1" s="1003"/>
      <c r="E1" s="1003"/>
      <c r="F1" s="1003"/>
      <c r="G1" s="1003"/>
      <c r="H1" s="1003"/>
      <c r="I1" s="1003"/>
      <c r="J1" s="1003"/>
    </row>
    <row r="3" spans="1:10" ht="13.65" customHeight="1">
      <c r="A3" s="992" t="str">
        <f>"The Rental Comparables included in this packet are used to determine market rent for the subject property as of the "&amp;TEXT(INPUT!B5,"mm/dd/yyyy")&amp;" effective date."</f>
        <v>The Rental Comparables included in this packet are used to determine market rent for the subject property as of the 01/09/2026 effective date.</v>
      </c>
      <c r="B3" s="992"/>
      <c r="C3" s="992"/>
      <c r="D3" s="992"/>
      <c r="E3" s="992"/>
      <c r="F3" s="992"/>
      <c r="G3" s="992"/>
      <c r="H3" s="992"/>
      <c r="I3" s="992"/>
      <c r="J3" s="992"/>
    </row>
    <row r="4" spans="1:10" ht="13.65" customHeight="1">
      <c r="A4" s="992"/>
      <c r="B4" s="992"/>
      <c r="C4" s="992"/>
      <c r="D4" s="992"/>
      <c r="E4" s="992"/>
      <c r="F4" s="992"/>
      <c r="G4" s="992"/>
      <c r="H4" s="992"/>
      <c r="I4" s="992"/>
      <c r="J4" s="992"/>
    </row>
    <row r="5" spans="1:10" ht="13.65" customHeight="1">
      <c r="A5" s="1004"/>
      <c r="B5" s="1004"/>
      <c r="C5" s="1004"/>
      <c r="D5" s="1004"/>
      <c r="E5" s="1004"/>
      <c r="F5" s="1004"/>
      <c r="G5" s="1004"/>
      <c r="H5" s="1004"/>
      <c r="I5" s="1004"/>
      <c r="J5" s="1004"/>
    </row>
    <row r="6" spans="1:10" ht="25.2" customHeight="1">
      <c r="A6" s="1004"/>
      <c r="B6" s="1004"/>
      <c r="C6" s="1004"/>
      <c r="D6" s="1004"/>
      <c r="E6" s="1004"/>
      <c r="F6" s="1004"/>
      <c r="G6" s="1004"/>
      <c r="H6" s="1004"/>
      <c r="I6" s="1004"/>
      <c r="J6" s="1004"/>
    </row>
    <row r="7" spans="1:10" ht="13.65" customHeight="1">
      <c r="A7" s="191"/>
      <c r="B7" s="192"/>
      <c r="C7" s="192"/>
      <c r="D7" s="192"/>
      <c r="E7" s="193"/>
      <c r="F7" s="194"/>
      <c r="G7" s="194"/>
      <c r="H7" s="194"/>
      <c r="I7" s="194"/>
      <c r="J7" s="194"/>
    </row>
    <row r="8" spans="1:10">
      <c r="A8" s="990" t="str">
        <f>"After considering the attached lease comparables for time, age, condition, and location, the market rent for the subject property is estimated at "&amp;TEXT(INPUT!B46,"$###.00")&amp;" per square foot on a "&amp;INPUT!B45&amp;" basis."</f>
        <v>After considering the attached lease comparables for time, age, condition, and location, the market rent for the subject property is estimated at $1.50 per square foot on a NNN basis.</v>
      </c>
      <c r="B8" s="990"/>
      <c r="C8" s="990"/>
      <c r="D8" s="990"/>
      <c r="E8" s="990"/>
      <c r="F8" s="990"/>
      <c r="G8" s="990"/>
      <c r="H8" s="990"/>
      <c r="I8" s="990"/>
      <c r="J8" s="990"/>
    </row>
    <row r="9" spans="1:10">
      <c r="A9" s="990"/>
      <c r="B9" s="990"/>
      <c r="C9" s="990"/>
      <c r="D9" s="990"/>
      <c r="E9" s="990"/>
      <c r="F9" s="990"/>
      <c r="G9" s="990"/>
      <c r="H9" s="990"/>
      <c r="I9" s="990"/>
      <c r="J9" s="990"/>
    </row>
    <row r="10" spans="1:10">
      <c r="A10" s="990"/>
      <c r="B10" s="990"/>
      <c r="C10" s="990"/>
      <c r="D10" s="990"/>
      <c r="E10" s="990"/>
      <c r="F10" s="990"/>
      <c r="G10" s="990"/>
      <c r="H10" s="990"/>
      <c r="I10" s="990"/>
      <c r="J10" s="990"/>
    </row>
    <row r="11" spans="1:10">
      <c r="A11" s="990"/>
      <c r="B11" s="990"/>
      <c r="C11" s="990"/>
      <c r="D11" s="990"/>
      <c r="E11" s="990"/>
      <c r="F11" s="990"/>
      <c r="G11" s="990"/>
      <c r="H11" s="990"/>
      <c r="I11" s="990"/>
      <c r="J11" s="990"/>
    </row>
    <row r="12" spans="1:10" ht="15" hidden="1">
      <c r="A12" s="195"/>
      <c r="B12" s="196"/>
      <c r="C12" s="196"/>
      <c r="D12" s="196"/>
      <c r="E12" s="197"/>
      <c r="F12" s="194"/>
      <c r="G12" s="194"/>
      <c r="H12" s="194"/>
      <c r="I12" s="194"/>
      <c r="J12" s="194"/>
    </row>
    <row r="13" spans="1:10">
      <c r="A13" s="991" t="str">
        <f>"Vacancy and collection losses are estimated at "&amp;TEXT(INPUT!B47,"0%")&amp;" of PGI. Income potential is estimated on a "&amp;INPUT!B45&amp;" rent basis. Therefore expenses are estimated at "&amp;TEXT(INPUT!B48,"0%")&amp;" of EGI."</f>
        <v>Vacancy and collection losses are estimated at 5% of PGI. Income potential is estimated on a NNN rent basis. Therefore expenses are estimated at 5% of EGI.</v>
      </c>
      <c r="B13" s="991"/>
      <c r="C13" s="991"/>
      <c r="D13" s="991"/>
      <c r="E13" s="991"/>
      <c r="F13" s="991"/>
      <c r="G13" s="991"/>
      <c r="H13" s="991"/>
      <c r="I13" s="991"/>
      <c r="J13" s="991"/>
    </row>
    <row r="14" spans="1:10">
      <c r="A14" s="991"/>
      <c r="B14" s="991"/>
      <c r="C14" s="991"/>
      <c r="D14" s="991"/>
      <c r="E14" s="991"/>
      <c r="F14" s="991"/>
      <c r="G14" s="991"/>
      <c r="H14" s="991"/>
      <c r="I14" s="991"/>
      <c r="J14" s="991"/>
    </row>
    <row r="15" spans="1:10">
      <c r="A15" s="991"/>
      <c r="B15" s="991"/>
      <c r="C15" s="991"/>
      <c r="D15" s="991"/>
      <c r="E15" s="991"/>
      <c r="F15" s="991"/>
      <c r="G15" s="991"/>
      <c r="H15" s="991"/>
      <c r="I15" s="991"/>
      <c r="J15" s="991"/>
    </row>
    <row r="16" spans="1:10">
      <c r="A16" s="991"/>
      <c r="B16" s="991"/>
      <c r="C16" s="991"/>
      <c r="D16" s="991"/>
      <c r="E16" s="991"/>
      <c r="F16" s="991"/>
      <c r="G16" s="991"/>
      <c r="H16" s="991"/>
      <c r="I16" s="991"/>
      <c r="J16" s="991"/>
    </row>
    <row r="17" spans="1:10">
      <c r="A17" s="992" t="str">
        <f>"The Overall Rate is extracted from similar property sales to the subject. The OAR conclusion as of the lien date is "&amp;TEXT(INPUT!B49,"0.00%")&amp;". With this addition of the "&amp;TEXT(INPUT!B50,"0.00%")&amp;" tax component, the CAP rate conclusion is "&amp;TEXT(INPUT!B51,"0.00%")&amp;"."</f>
        <v>The Overall Rate is extracted from similar property sales to the subject. The OAR conclusion as of the lien date is 5.25%. With this addition of the 0.00% tax component, the CAP rate conclusion is 5.25%.</v>
      </c>
      <c r="B17" s="992"/>
      <c r="C17" s="992"/>
      <c r="D17" s="992"/>
      <c r="E17" s="992"/>
      <c r="F17" s="992"/>
      <c r="G17" s="992"/>
      <c r="H17" s="992"/>
      <c r="I17" s="992"/>
      <c r="J17" s="992"/>
    </row>
    <row r="18" spans="1:10" ht="18" customHeight="1">
      <c r="A18" s="992"/>
      <c r="B18" s="992"/>
      <c r="C18" s="992"/>
      <c r="D18" s="992"/>
      <c r="E18" s="992"/>
      <c r="F18" s="992"/>
      <c r="G18" s="992"/>
      <c r="H18" s="992"/>
      <c r="I18" s="992"/>
      <c r="J18" s="992"/>
    </row>
    <row r="19" spans="1:10" ht="15">
      <c r="A19" s="198"/>
      <c r="B19" s="198"/>
      <c r="C19" s="198"/>
      <c r="D19" s="198"/>
      <c r="E19" s="198"/>
      <c r="F19" s="198"/>
      <c r="G19" s="198"/>
      <c r="H19" s="198"/>
      <c r="I19" s="198"/>
      <c r="J19" s="198"/>
    </row>
    <row r="20" spans="1:10" ht="15">
      <c r="A20" s="194"/>
      <c r="B20" s="993"/>
      <c r="C20" s="993"/>
      <c r="D20" s="993"/>
      <c r="E20" s="994"/>
      <c r="F20" s="994"/>
      <c r="G20" s="199"/>
      <c r="H20" s="995"/>
      <c r="I20" s="995"/>
      <c r="J20" s="194"/>
    </row>
    <row r="21" spans="1:10" ht="15">
      <c r="A21" s="200" t="s">
        <v>195</v>
      </c>
      <c r="B21" s="200"/>
      <c r="C21" s="200"/>
      <c r="D21" s="200"/>
      <c r="E21" s="200"/>
      <c r="F21" s="200"/>
      <c r="G21" s="200"/>
      <c r="H21" s="200"/>
      <c r="I21" s="200"/>
      <c r="J21" s="194"/>
    </row>
    <row r="22" spans="1:10" ht="15">
      <c r="A22" s="194"/>
      <c r="B22" s="194"/>
      <c r="C22" s="194"/>
      <c r="D22" s="194"/>
      <c r="E22" s="194"/>
      <c r="F22" s="194"/>
      <c r="G22" s="194"/>
      <c r="H22" s="194"/>
      <c r="I22" s="194"/>
      <c r="J22" s="194"/>
    </row>
    <row r="23" spans="1:10" ht="15">
      <c r="A23" s="194"/>
      <c r="B23" s="201" t="s">
        <v>196</v>
      </c>
      <c r="C23" s="202"/>
      <c r="D23" s="203">
        <f>INPUT!B34</f>
        <v>10490</v>
      </c>
      <c r="E23" s="204" t="str">
        <f>" sf         @"</f>
        <v xml:space="preserve"> sf         @</v>
      </c>
      <c r="F23" s="205">
        <f>INPUT!B46</f>
        <v>1.5</v>
      </c>
      <c r="G23" s="206" t="s">
        <v>197</v>
      </c>
      <c r="H23" s="202"/>
      <c r="I23" s="207">
        <f>(F23*12)*D23</f>
        <v>188820</v>
      </c>
      <c r="J23" s="194"/>
    </row>
    <row r="24" spans="1:10" ht="15">
      <c r="A24" s="194"/>
      <c r="B24" s="208" t="s">
        <v>198</v>
      </c>
      <c r="C24" s="194"/>
      <c r="D24" s="194"/>
      <c r="E24" s="209" t="s">
        <v>199</v>
      </c>
      <c r="F24" s="210">
        <f>INPUT!B47</f>
        <v>0.05</v>
      </c>
      <c r="G24" s="194"/>
      <c r="H24" s="194"/>
      <c r="I24" s="211">
        <f>ROUND(I23*F24,0)</f>
        <v>9441</v>
      </c>
      <c r="J24" s="194"/>
    </row>
    <row r="25" spans="1:10" ht="15">
      <c r="A25" s="194"/>
      <c r="B25" s="212" t="s">
        <v>200</v>
      </c>
      <c r="C25" s="194"/>
      <c r="D25" s="194"/>
      <c r="E25" s="194"/>
      <c r="F25" s="194"/>
      <c r="G25" s="194"/>
      <c r="H25" s="194"/>
      <c r="I25" s="213">
        <f>I23-I24</f>
        <v>179379</v>
      </c>
      <c r="J25" s="194"/>
    </row>
    <row r="26" spans="1:10" ht="15">
      <c r="A26" s="194"/>
      <c r="B26" s="208" t="s">
        <v>201</v>
      </c>
      <c r="C26" s="194"/>
      <c r="D26" s="194"/>
      <c r="E26" s="209" t="s">
        <v>199</v>
      </c>
      <c r="F26" s="210">
        <f>INPUT!B48</f>
        <v>0.05</v>
      </c>
      <c r="G26" s="194"/>
      <c r="H26" s="194"/>
      <c r="I26" s="211">
        <f>ROUND(I25*F26,0)</f>
        <v>8969</v>
      </c>
      <c r="J26" s="194"/>
    </row>
    <row r="27" spans="1:10" ht="15">
      <c r="A27" s="194"/>
      <c r="B27" s="212" t="s">
        <v>202</v>
      </c>
      <c r="C27" s="194"/>
      <c r="D27" s="194"/>
      <c r="E27" s="194"/>
      <c r="F27" s="194"/>
      <c r="G27" s="194"/>
      <c r="H27" s="194"/>
      <c r="I27" s="213">
        <f>I25-I26</f>
        <v>170410</v>
      </c>
      <c r="J27" s="194"/>
    </row>
    <row r="28" spans="1:10" ht="15">
      <c r="A28" s="194"/>
      <c r="B28" s="212" t="s">
        <v>203</v>
      </c>
      <c r="C28" s="194"/>
      <c r="D28" s="194"/>
      <c r="E28" s="209" t="s">
        <v>199</v>
      </c>
      <c r="F28" s="214">
        <f>INPUT!B51</f>
        <v>5.2499999999999998E-2</v>
      </c>
      <c r="G28" s="194"/>
      <c r="H28" s="194"/>
      <c r="I28" s="213">
        <f>I27/F28</f>
        <v>3245904.7619047621</v>
      </c>
      <c r="J28" s="194"/>
    </row>
    <row r="29" spans="1:10" ht="15">
      <c r="A29" s="194"/>
      <c r="B29" s="215" t="s">
        <v>204</v>
      </c>
      <c r="C29" s="216"/>
      <c r="D29" s="216"/>
      <c r="E29" s="217"/>
      <c r="F29" s="218"/>
      <c r="G29" s="216"/>
      <c r="H29" s="216"/>
      <c r="I29" s="219">
        <v>0</v>
      </c>
      <c r="J29" s="194"/>
    </row>
    <row r="30" spans="1:10" ht="15">
      <c r="A30" s="194"/>
      <c r="B30" s="212"/>
      <c r="C30" s="194"/>
      <c r="D30" s="194"/>
      <c r="E30" s="194"/>
      <c r="F30" s="194"/>
      <c r="G30" s="194"/>
      <c r="H30" s="194"/>
      <c r="I30" s="220"/>
      <c r="J30" s="200"/>
    </row>
    <row r="31" spans="1:10" ht="15">
      <c r="A31" s="194"/>
      <c r="B31" s="221" t="s">
        <v>205</v>
      </c>
      <c r="C31" s="222"/>
      <c r="D31" s="222"/>
      <c r="E31" s="222"/>
      <c r="F31" s="222"/>
      <c r="G31" s="222"/>
      <c r="H31" s="222"/>
      <c r="I31" s="223">
        <f>I28-I29</f>
        <v>3245904.7619047621</v>
      </c>
      <c r="J31" s="194"/>
    </row>
    <row r="32" spans="1:10" ht="15">
      <c r="A32" s="194"/>
      <c r="B32" s="194"/>
      <c r="C32" s="194"/>
      <c r="D32" s="194"/>
      <c r="E32" s="194"/>
      <c r="F32" s="194"/>
      <c r="G32" s="194"/>
      <c r="H32" s="194"/>
      <c r="I32" s="194"/>
      <c r="J32" s="194"/>
    </row>
    <row r="33" spans="1:10" ht="15.6">
      <c r="A33" s="984" t="s">
        <v>206</v>
      </c>
      <c r="B33" s="985"/>
      <c r="C33" s="985"/>
      <c r="D33" s="985"/>
      <c r="E33" s="985"/>
      <c r="F33" s="985"/>
      <c r="G33" s="985"/>
      <c r="H33" s="985"/>
      <c r="I33" s="996">
        <f>ROUNDDOWN(I31,-3)</f>
        <v>3245000</v>
      </c>
      <c r="J33" s="997"/>
    </row>
    <row r="35" spans="1:10" ht="24">
      <c r="A35" s="998"/>
      <c r="B35" s="999"/>
      <c r="C35" s="999"/>
      <c r="D35" s="999"/>
      <c r="E35" s="999"/>
      <c r="F35" s="999"/>
      <c r="G35" s="999"/>
      <c r="H35" s="999"/>
      <c r="I35" s="1000"/>
      <c r="J35" s="1001"/>
    </row>
  </sheetData>
  <sheetProtection selectLockedCells="1"/>
  <mergeCells count="12">
    <mergeCell ref="A33:H33"/>
    <mergeCell ref="I33:J33"/>
    <mergeCell ref="A35:H35"/>
    <mergeCell ref="I35:J35"/>
    <mergeCell ref="A1:J1"/>
    <mergeCell ref="A3:J6"/>
    <mergeCell ref="A8:J11"/>
    <mergeCell ref="A13:J16"/>
    <mergeCell ref="A17:J18"/>
    <mergeCell ref="B20:D20"/>
    <mergeCell ref="E20:F20"/>
    <mergeCell ref="H20:I20"/>
  </mergeCells>
  <printOptions horizontalCentered="1"/>
  <pageMargins left="0.7" right="0.7" top="0.75" bottom="0.75" header="0.3" footer="0.3"/>
  <pageSetup scale="82" orientation="portrait" r:id="rId1"/>
  <headerFooter scaleWithDoc="0">
    <oddFooter>Page &amp;P of &amp;N</odd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3AB487-9E59-4C57-8ECD-9BADF220FA3D}">
  <sheetPr codeName="Sheet56">
    <pageSetUpPr fitToPage="1"/>
  </sheetPr>
  <dimension ref="A1:P28"/>
  <sheetViews>
    <sheetView showGridLines="0" topLeftCell="A9" zoomScale="115" zoomScaleNormal="115" zoomScaleSheetLayoutView="145" zoomScalePageLayoutView="85" workbookViewId="0">
      <selection activeCell="I26" sqref="I26:J26"/>
    </sheetView>
  </sheetViews>
  <sheetFormatPr defaultColWidth="9.109375" defaultRowHeight="13.2"/>
  <cols>
    <col min="1" max="1" width="6" style="190" customWidth="1"/>
    <col min="2" max="2" width="8.6640625" style="190" customWidth="1"/>
    <col min="3" max="3" width="17.33203125" style="190" customWidth="1"/>
    <col min="4" max="4" width="12" style="190" customWidth="1"/>
    <col min="5" max="5" width="9.44140625" style="190" customWidth="1"/>
    <col min="6" max="6" width="9.33203125" style="190" bestFit="1" customWidth="1"/>
    <col min="7" max="7" width="8.33203125" style="190" customWidth="1"/>
    <col min="8" max="8" width="15.6640625" style="190" customWidth="1"/>
    <col min="9" max="9" width="17.88671875" style="190" customWidth="1"/>
    <col min="10" max="16384" width="9.109375" style="190"/>
  </cols>
  <sheetData>
    <row r="1" spans="1:16" ht="18">
      <c r="A1" s="988" t="s">
        <v>426</v>
      </c>
      <c r="B1" s="989"/>
      <c r="C1" s="989"/>
      <c r="D1" s="989"/>
      <c r="E1" s="989"/>
      <c r="F1" s="989"/>
      <c r="G1" s="989"/>
      <c r="H1" s="989"/>
      <c r="I1" s="989"/>
      <c r="J1" s="989"/>
    </row>
    <row r="3" spans="1:16" ht="13.65" customHeight="1">
      <c r="A3" s="990" t="s">
        <v>385</v>
      </c>
      <c r="B3" s="990"/>
      <c r="C3" s="990"/>
      <c r="D3" s="990"/>
      <c r="E3" s="990"/>
      <c r="F3" s="990"/>
      <c r="G3" s="990"/>
      <c r="H3" s="990"/>
      <c r="I3" s="990"/>
      <c r="J3" s="990"/>
    </row>
    <row r="4" spans="1:16" ht="13.65" customHeight="1">
      <c r="A4" s="990"/>
      <c r="B4" s="990"/>
      <c r="C4" s="990"/>
      <c r="D4" s="990"/>
      <c r="E4" s="990"/>
      <c r="F4" s="990"/>
      <c r="G4" s="990"/>
      <c r="H4" s="990"/>
      <c r="I4" s="990"/>
      <c r="J4" s="990"/>
    </row>
    <row r="5" spans="1:16" ht="13.65" customHeight="1">
      <c r="A5" s="841"/>
      <c r="B5" s="841"/>
      <c r="C5" s="841"/>
      <c r="D5" s="841"/>
      <c r="E5" s="841"/>
      <c r="F5" s="841"/>
      <c r="G5" s="841"/>
      <c r="H5" s="841"/>
      <c r="I5" s="841"/>
      <c r="J5" s="841"/>
    </row>
    <row r="6" spans="1:16">
      <c r="A6" s="991" t="s">
        <v>427</v>
      </c>
      <c r="B6" s="991"/>
      <c r="C6" s="991"/>
      <c r="D6" s="991"/>
      <c r="E6" s="991"/>
      <c r="F6" s="991"/>
      <c r="G6" s="991"/>
      <c r="H6" s="991"/>
      <c r="I6" s="991"/>
      <c r="J6" s="991"/>
    </row>
    <row r="7" spans="1:16">
      <c r="A7" s="991"/>
      <c r="B7" s="991"/>
      <c r="C7" s="991"/>
      <c r="D7" s="991"/>
      <c r="E7" s="991"/>
      <c r="F7" s="991"/>
      <c r="G7" s="991"/>
      <c r="H7" s="991"/>
      <c r="I7" s="991"/>
      <c r="J7" s="991"/>
    </row>
    <row r="8" spans="1:16">
      <c r="A8" s="991"/>
      <c r="B8" s="991"/>
      <c r="C8" s="991"/>
      <c r="D8" s="991"/>
      <c r="E8" s="991"/>
      <c r="F8" s="991"/>
      <c r="G8" s="991"/>
      <c r="H8" s="991"/>
      <c r="I8" s="991"/>
      <c r="J8" s="991"/>
    </row>
    <row r="9" spans="1:16" ht="27" customHeight="1">
      <c r="A9" s="991"/>
      <c r="B9" s="991"/>
      <c r="C9" s="991"/>
      <c r="D9" s="991"/>
      <c r="E9" s="991"/>
      <c r="F9" s="991"/>
      <c r="G9" s="991"/>
      <c r="H9" s="991"/>
      <c r="I9" s="991"/>
      <c r="J9" s="991"/>
    </row>
    <row r="10" spans="1:16">
      <c r="A10" s="992" t="s">
        <v>386</v>
      </c>
      <c r="B10" s="992"/>
      <c r="C10" s="992"/>
      <c r="D10" s="992"/>
      <c r="E10" s="992"/>
      <c r="F10" s="992"/>
      <c r="G10" s="992"/>
      <c r="H10" s="992"/>
      <c r="I10" s="992"/>
      <c r="J10" s="992"/>
    </row>
    <row r="11" spans="1:16" ht="21" customHeight="1">
      <c r="A11" s="992"/>
      <c r="B11" s="992"/>
      <c r="C11" s="992"/>
      <c r="D11" s="992"/>
      <c r="E11" s="992"/>
      <c r="F11" s="992"/>
      <c r="G11" s="992"/>
      <c r="H11" s="992"/>
      <c r="I11" s="992"/>
      <c r="J11" s="992"/>
    </row>
    <row r="12" spans="1:16" ht="15">
      <c r="A12" s="198"/>
      <c r="B12" s="198"/>
      <c r="C12" s="198"/>
      <c r="D12" s="198"/>
      <c r="E12" s="198"/>
      <c r="F12" s="198"/>
      <c r="G12" s="198"/>
      <c r="H12" s="198"/>
      <c r="I12" s="198"/>
      <c r="J12" s="198"/>
      <c r="P12" s="190">
        <v>63890</v>
      </c>
    </row>
    <row r="13" spans="1:16" ht="15">
      <c r="A13" s="194"/>
      <c r="B13" s="993"/>
      <c r="C13" s="993"/>
      <c r="D13" s="993"/>
      <c r="E13" s="994"/>
      <c r="F13" s="994"/>
      <c r="G13" s="199"/>
      <c r="H13" s="995"/>
      <c r="I13" s="995"/>
      <c r="J13" s="194"/>
      <c r="P13" s="190">
        <v>48853</v>
      </c>
    </row>
    <row r="14" spans="1:16" ht="15">
      <c r="A14" s="200" t="s">
        <v>387</v>
      </c>
      <c r="B14" s="200"/>
      <c r="C14" s="200"/>
      <c r="D14" s="200"/>
      <c r="E14" s="200"/>
      <c r="F14" s="200"/>
      <c r="G14" s="200"/>
      <c r="H14" s="200"/>
      <c r="I14" s="200"/>
      <c r="J14" s="194"/>
      <c r="P14" s="190">
        <f>P12/P13</f>
        <v>1.3078009538820543</v>
      </c>
    </row>
    <row r="15" spans="1:16" ht="15">
      <c r="A15" s="194"/>
      <c r="B15" s="194"/>
      <c r="C15" s="194"/>
      <c r="D15" s="194"/>
      <c r="E15" s="194"/>
      <c r="F15" s="194"/>
      <c r="G15" s="194"/>
      <c r="H15" s="194"/>
      <c r="I15" s="194"/>
      <c r="J15" s="194"/>
    </row>
    <row r="16" spans="1:16" ht="15">
      <c r="A16" s="194"/>
      <c r="B16" s="201" t="s">
        <v>196</v>
      </c>
      <c r="C16" s="202"/>
      <c r="D16" s="203">
        <f>INPUT!B35</f>
        <v>10490</v>
      </c>
      <c r="E16" s="204" t="str">
        <f>" sf         @"</f>
        <v xml:space="preserve"> sf         @</v>
      </c>
      <c r="F16" s="205">
        <v>1.1599999999999999</v>
      </c>
      <c r="G16" s="206" t="s">
        <v>197</v>
      </c>
      <c r="H16" s="224"/>
      <c r="I16" s="207">
        <f>(D16*F16)*12</f>
        <v>146020.79999999999</v>
      </c>
      <c r="J16" s="194"/>
    </row>
    <row r="17" spans="1:14" ht="15">
      <c r="A17" s="194"/>
      <c r="B17" s="208" t="s">
        <v>198</v>
      </c>
      <c r="C17" s="194"/>
      <c r="D17" s="194"/>
      <c r="E17" s="209" t="s">
        <v>199</v>
      </c>
      <c r="F17" s="210">
        <v>0</v>
      </c>
      <c r="G17" s="194"/>
      <c r="I17" s="211">
        <f>ROUND(I16*F17,0)</f>
        <v>0</v>
      </c>
      <c r="J17" s="194"/>
    </row>
    <row r="18" spans="1:14" ht="15">
      <c r="A18" s="194"/>
      <c r="B18" s="212" t="s">
        <v>200</v>
      </c>
      <c r="C18" s="194"/>
      <c r="D18" s="194"/>
      <c r="E18" s="194"/>
      <c r="F18" s="194"/>
      <c r="G18" s="194"/>
      <c r="H18" s="194"/>
      <c r="I18" s="213">
        <f>I16-I17</f>
        <v>146020.79999999999</v>
      </c>
      <c r="J18" s="194"/>
    </row>
    <row r="19" spans="1:14" ht="15">
      <c r="A19" s="194"/>
      <c r="B19" s="208" t="s">
        <v>201</v>
      </c>
      <c r="C19" s="194"/>
      <c r="D19" s="194"/>
      <c r="E19" s="209" t="s">
        <v>199</v>
      </c>
      <c r="F19" s="214">
        <v>3.2399999999999998E-2</v>
      </c>
      <c r="G19" s="194"/>
      <c r="H19" s="195"/>
      <c r="I19" s="211">
        <v>28742</v>
      </c>
      <c r="J19" s="194"/>
    </row>
    <row r="20" spans="1:14" ht="15">
      <c r="A20" s="194"/>
      <c r="B20" s="212" t="s">
        <v>202</v>
      </c>
      <c r="C20" s="194"/>
      <c r="D20" s="194"/>
      <c r="E20" s="194"/>
      <c r="F20" s="194"/>
      <c r="G20" s="194"/>
      <c r="H20" s="194"/>
      <c r="I20" s="213">
        <f>I18-I19</f>
        <v>117278.79999999999</v>
      </c>
      <c r="J20" s="194"/>
    </row>
    <row r="21" spans="1:14" ht="15">
      <c r="A21" s="194"/>
      <c r="B21" s="212" t="s">
        <v>203</v>
      </c>
      <c r="C21" s="194"/>
      <c r="D21" s="194"/>
      <c r="E21" s="209" t="s">
        <v>199</v>
      </c>
      <c r="F21" s="214">
        <v>5.1499999999999997E-2</v>
      </c>
      <c r="G21" s="194"/>
      <c r="H21" s="194"/>
      <c r="I21" s="213">
        <f>I20/F21</f>
        <v>2277258.2524271845</v>
      </c>
      <c r="J21" s="194"/>
    </row>
    <row r="22" spans="1:14" ht="15">
      <c r="A22" s="194"/>
      <c r="B22" s="215" t="s">
        <v>204</v>
      </c>
      <c r="C22" s="216"/>
      <c r="D22" s="216"/>
      <c r="E22" s="217"/>
      <c r="F22" s="218"/>
      <c r="G22" s="216"/>
      <c r="H22" s="216"/>
      <c r="I22" s="219">
        <v>0</v>
      </c>
      <c r="J22" s="194"/>
    </row>
    <row r="23" spans="1:14" ht="15">
      <c r="A23" s="194"/>
      <c r="B23" s="212"/>
      <c r="C23" s="194"/>
      <c r="D23" s="194"/>
      <c r="E23" s="194"/>
      <c r="F23" s="194"/>
      <c r="G23" s="194"/>
      <c r="H23" s="194"/>
      <c r="I23" s="220"/>
      <c r="J23" s="200"/>
    </row>
    <row r="24" spans="1:14" ht="15">
      <c r="A24" s="194"/>
      <c r="B24" s="221" t="s">
        <v>205</v>
      </c>
      <c r="C24" s="222"/>
      <c r="D24" s="222"/>
      <c r="E24" s="222"/>
      <c r="F24" s="222"/>
      <c r="G24" s="222"/>
      <c r="H24" s="222"/>
      <c r="I24" s="223">
        <f>I21-I22</f>
        <v>2277258.2524271845</v>
      </c>
      <c r="J24" s="194"/>
    </row>
    <row r="25" spans="1:14" ht="15">
      <c r="A25" s="194"/>
      <c r="B25" s="194"/>
      <c r="C25" s="194"/>
      <c r="D25" s="194"/>
      <c r="E25" s="194"/>
      <c r="F25" s="194"/>
      <c r="G25" s="194"/>
      <c r="H25" s="194"/>
      <c r="I25" s="194"/>
      <c r="J25" s="194"/>
    </row>
    <row r="26" spans="1:14" ht="21">
      <c r="A26" s="984" t="s">
        <v>206</v>
      </c>
      <c r="B26" s="985"/>
      <c r="C26" s="985"/>
      <c r="D26" s="985"/>
      <c r="E26" s="985"/>
      <c r="F26" s="985"/>
      <c r="G26" s="985"/>
      <c r="H26" s="985"/>
      <c r="I26" s="986">
        <v>16672000</v>
      </c>
      <c r="J26" s="987"/>
    </row>
    <row r="27" spans="1:14">
      <c r="A27" s="225"/>
      <c r="B27" s="225"/>
      <c r="C27" s="225"/>
      <c r="D27" s="225"/>
      <c r="E27" s="225"/>
      <c r="F27" s="225"/>
      <c r="G27" s="225"/>
      <c r="H27" s="225"/>
      <c r="I27" s="225"/>
      <c r="J27" s="225"/>
      <c r="K27" s="225"/>
      <c r="L27" s="225"/>
      <c r="M27" s="225"/>
      <c r="N27" s="225"/>
    </row>
    <row r="28" spans="1:14">
      <c r="A28" s="225"/>
      <c r="B28" s="225"/>
      <c r="C28" s="225"/>
      <c r="D28" s="225"/>
      <c r="E28" s="225"/>
      <c r="F28" s="225"/>
      <c r="G28" s="225"/>
      <c r="H28" s="225"/>
      <c r="I28" s="225"/>
      <c r="J28" s="225"/>
      <c r="K28" s="225"/>
      <c r="L28" s="225"/>
      <c r="M28" s="225"/>
      <c r="N28" s="225"/>
    </row>
  </sheetData>
  <mergeCells count="9">
    <mergeCell ref="A26:H26"/>
    <mergeCell ref="I26:J26"/>
    <mergeCell ref="A1:J1"/>
    <mergeCell ref="A3:J5"/>
    <mergeCell ref="A6:J9"/>
    <mergeCell ref="A10:J11"/>
    <mergeCell ref="B13:D13"/>
    <mergeCell ref="E13:F13"/>
    <mergeCell ref="H13:I13"/>
  </mergeCells>
  <pageMargins left="0.53125" right="0.45833333333333331" top="0.29666666666666669" bottom="0.29666666666666669" header="0.5" footer="0.5"/>
  <pageSetup scale="84" orientation="portrait" r:id="rId1"/>
  <headerFooter alignWithMargins="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3B30B-4A31-421A-B5DA-7A4A98F5ACD5}">
  <sheetPr codeName="Sheet32">
    <tabColor theme="9" tint="-0.249977111117893"/>
    <pageSetUpPr fitToPage="1"/>
  </sheetPr>
  <dimension ref="A1:AF51"/>
  <sheetViews>
    <sheetView showGridLines="0" showWhiteSpace="0" zoomScaleNormal="100" zoomScaleSheetLayoutView="115" workbookViewId="0">
      <selection activeCell="D2" sqref="D2"/>
    </sheetView>
  </sheetViews>
  <sheetFormatPr defaultRowHeight="14.4"/>
  <cols>
    <col min="1" max="1" width="1.6640625" customWidth="1"/>
    <col min="2" max="2" width="1.44140625" customWidth="1"/>
    <col min="3" max="3" width="5.109375" customWidth="1"/>
    <col min="4" max="4" width="5.6640625" customWidth="1"/>
    <col min="5" max="5" width="10" customWidth="1"/>
    <col min="6" max="6" width="1.109375" customWidth="1"/>
    <col min="7" max="7" width="2.109375" customWidth="1"/>
    <col min="8" max="8" width="0.88671875" customWidth="1"/>
    <col min="9" max="9" width="3.44140625" customWidth="1"/>
    <col min="10" max="10" width="2.44140625" customWidth="1"/>
    <col min="11" max="12" width="1" customWidth="1"/>
    <col min="13" max="13" width="4.109375" customWidth="1"/>
    <col min="14" max="14" width="5.6640625" customWidth="1"/>
    <col min="15" max="15" width="3" customWidth="1"/>
    <col min="16" max="16" width="0.109375" customWidth="1"/>
    <col min="17" max="17" width="4.6640625" customWidth="1"/>
    <col min="18" max="18" width="0.6640625" customWidth="1"/>
    <col min="19" max="19" width="1.5546875" customWidth="1"/>
    <col min="20" max="20" width="4.44140625" customWidth="1"/>
    <col min="21" max="21" width="5.6640625" customWidth="1"/>
    <col min="22" max="22" width="1.109375" customWidth="1"/>
    <col min="23" max="24" width="1" customWidth="1"/>
    <col min="25" max="25" width="10.44140625" customWidth="1"/>
    <col min="26" max="26" width="1.33203125" customWidth="1"/>
    <col min="27" max="27" width="8.88671875" customWidth="1"/>
    <col min="28" max="28" width="1.33203125" customWidth="1"/>
    <col min="29" max="29" width="10.109375" bestFit="1" customWidth="1"/>
    <col min="30" max="30" width="1" customWidth="1"/>
    <col min="31" max="31" width="1.88671875" customWidth="1"/>
  </cols>
  <sheetData>
    <row r="1" spans="1:32" ht="4.5" customHeight="1"/>
    <row r="2" spans="1:32" ht="18">
      <c r="C2" s="52" t="s">
        <v>262</v>
      </c>
      <c r="E2" s="386" t="str">
        <f>INPUT!D3</f>
        <v>2026/2027</v>
      </c>
      <c r="F2" s="1012" t="s">
        <v>208</v>
      </c>
      <c r="G2" s="1012"/>
      <c r="H2" s="1012"/>
      <c r="I2" s="1012"/>
      <c r="J2" s="1012"/>
      <c r="K2" s="1012"/>
      <c r="L2" s="1012"/>
      <c r="M2" s="1012"/>
      <c r="N2" s="1012"/>
      <c r="O2" s="1012"/>
      <c r="P2" s="1012"/>
      <c r="Q2" s="1012"/>
      <c r="R2" s="1012"/>
      <c r="S2" s="1012"/>
      <c r="T2" s="1012"/>
      <c r="U2" s="1012"/>
      <c r="V2" s="1012"/>
      <c r="W2" s="1012"/>
      <c r="X2" s="1012"/>
      <c r="Y2" s="1012"/>
      <c r="Z2" s="1012"/>
      <c r="AB2" s="1013">
        <f ca="1">TODAY()</f>
        <v>46232</v>
      </c>
      <c r="AC2" s="1013"/>
      <c r="AD2" s="1013"/>
    </row>
    <row r="3" spans="1:32" ht="3" customHeight="1"/>
    <row r="4" spans="1:32" ht="20.25" customHeight="1">
      <c r="B4" s="387"/>
      <c r="C4" s="388" t="s">
        <v>209</v>
      </c>
      <c r="D4" s="1057">
        <f>INPUT!B30</f>
        <v>107350009</v>
      </c>
      <c r="E4" s="1057"/>
      <c r="F4" s="389"/>
      <c r="G4" s="388" t="s">
        <v>210</v>
      </c>
      <c r="H4" s="388"/>
      <c r="I4" s="388"/>
      <c r="J4" s="388"/>
      <c r="K4" s="1015">
        <f>INPUT!B5</f>
        <v>46031</v>
      </c>
      <c r="L4" s="1015"/>
      <c r="M4" s="1015"/>
      <c r="N4" s="1015"/>
      <c r="O4" s="388" t="s">
        <v>211</v>
      </c>
      <c r="P4" s="388"/>
      <c r="Q4" s="390">
        <v>677</v>
      </c>
      <c r="S4" s="1016" t="str">
        <f>"INCOME APPROACH - ("&amp;INPUT!B45&amp;" RENT)"</f>
        <v>INCOME APPROACH - (NNN RENT)</v>
      </c>
      <c r="T4" s="1017"/>
      <c r="U4" s="1017"/>
      <c r="V4" s="1017"/>
      <c r="W4" s="1017"/>
      <c r="X4" s="1017"/>
      <c r="Y4" s="1017"/>
      <c r="Z4" s="1017"/>
      <c r="AA4" s="1017"/>
      <c r="AB4" s="1017"/>
      <c r="AC4" s="1017"/>
      <c r="AD4" s="1018"/>
    </row>
    <row r="5" spans="1:32" ht="3.75" customHeight="1">
      <c r="S5" s="391"/>
      <c r="AD5" s="392"/>
    </row>
    <row r="6" spans="1:32">
      <c r="B6" s="393"/>
      <c r="C6" s="1009" t="s">
        <v>212</v>
      </c>
      <c r="D6" s="1009"/>
      <c r="E6" s="1009"/>
      <c r="F6" s="1009"/>
      <c r="G6" s="1010"/>
      <c r="I6" s="1011" t="s">
        <v>213</v>
      </c>
      <c r="J6" s="1009"/>
      <c r="K6" s="1009"/>
      <c r="L6" s="1009"/>
      <c r="M6" s="1009"/>
      <c r="N6" s="1009"/>
      <c r="O6" s="1009"/>
      <c r="P6" s="1009"/>
      <c r="Q6" s="1010"/>
      <c r="S6" s="391"/>
      <c r="T6" s="981" t="s">
        <v>82</v>
      </c>
      <c r="U6" s="981"/>
      <c r="V6" s="981"/>
      <c r="W6" s="981"/>
      <c r="X6" s="981"/>
      <c r="Y6" s="981"/>
      <c r="AA6" s="1" t="s">
        <v>214</v>
      </c>
      <c r="AB6" s="1"/>
      <c r="AC6" s="1" t="s">
        <v>215</v>
      </c>
      <c r="AD6" s="392"/>
      <c r="AF6" t="s">
        <v>157</v>
      </c>
    </row>
    <row r="7" spans="1:32" ht="4.5" customHeight="1">
      <c r="B7" s="391"/>
      <c r="G7" s="392"/>
      <c r="I7" s="391"/>
      <c r="Q7" s="392"/>
      <c r="S7" s="391"/>
      <c r="AD7" s="392"/>
    </row>
    <row r="8" spans="1:32">
      <c r="B8" s="391"/>
      <c r="C8" t="s">
        <v>216</v>
      </c>
      <c r="E8" s="1019">
        <f>INPUT!B38</f>
        <v>0.68</v>
      </c>
      <c r="F8" s="1019"/>
      <c r="G8" s="1020"/>
      <c r="I8" s="391" t="s">
        <v>217</v>
      </c>
      <c r="N8" s="1026"/>
      <c r="O8" s="1026"/>
      <c r="P8" s="1026"/>
      <c r="Q8" s="1027"/>
      <c r="S8" s="391"/>
      <c r="T8" s="1023" t="str">
        <f>PROPER(INPUT!B44)</f>
        <v>Light Industrial</v>
      </c>
      <c r="U8" s="1024"/>
      <c r="V8" s="1024"/>
      <c r="W8" s="1024"/>
      <c r="X8" s="1024"/>
      <c r="Y8" s="1025"/>
      <c r="AA8" s="394">
        <f>IF(OR(INPUT!B35=0, INPUT!B35=""),"",INPUT!B35)</f>
        <v>10490</v>
      </c>
      <c r="AB8" s="395"/>
      <c r="AC8" s="396">
        <f>IF(OR(INPUT!B46=0, INPUT!B46=""),"", INPUT!B46)</f>
        <v>1.5</v>
      </c>
      <c r="AD8" s="392"/>
    </row>
    <row r="9" spans="1:32" ht="4.5" customHeight="1">
      <c r="B9" s="391"/>
      <c r="E9" s="397"/>
      <c r="F9" s="397"/>
      <c r="G9" s="398"/>
      <c r="I9" s="391"/>
      <c r="N9" s="397"/>
      <c r="O9" s="397"/>
      <c r="P9" s="397"/>
      <c r="Q9" s="398"/>
      <c r="S9" s="391"/>
      <c r="T9" s="241"/>
      <c r="U9" s="241"/>
      <c r="V9" s="241"/>
      <c r="W9" s="241"/>
      <c r="X9" s="241"/>
      <c r="Y9" s="241"/>
      <c r="AA9" s="399"/>
      <c r="AB9" s="395"/>
      <c r="AC9" s="400"/>
      <c r="AD9" s="392"/>
    </row>
    <row r="10" spans="1:32">
      <c r="B10" s="391"/>
      <c r="C10" t="s">
        <v>218</v>
      </c>
      <c r="E10" s="1028">
        <v>30</v>
      </c>
      <c r="F10" s="1028"/>
      <c r="G10" s="1029"/>
      <c r="I10" s="391" t="s">
        <v>219</v>
      </c>
      <c r="N10" s="1021"/>
      <c r="O10" s="1021"/>
      <c r="P10" s="1021"/>
      <c r="Q10" s="1022"/>
      <c r="S10" s="391"/>
      <c r="T10" s="1023"/>
      <c r="U10" s="1024"/>
      <c r="V10" s="1024"/>
      <c r="W10" s="1024"/>
      <c r="X10" s="1024"/>
      <c r="Y10" s="1025"/>
      <c r="AA10" s="394"/>
      <c r="AB10" s="395"/>
      <c r="AC10" s="396"/>
      <c r="AD10" s="392"/>
    </row>
    <row r="11" spans="1:32" ht="4.5" customHeight="1">
      <c r="B11" s="391"/>
      <c r="E11" s="397"/>
      <c r="F11" s="397"/>
      <c r="G11" s="398"/>
      <c r="I11" s="391"/>
      <c r="N11" s="401"/>
      <c r="O11" s="401"/>
      <c r="P11" s="401"/>
      <c r="Q11" s="402"/>
      <c r="S11" s="391"/>
      <c r="T11" s="241"/>
      <c r="U11" s="241"/>
      <c r="V11" s="241"/>
      <c r="W11" s="241"/>
      <c r="X11" s="241"/>
      <c r="Y11" s="241"/>
      <c r="AA11" s="399"/>
      <c r="AB11" s="395"/>
      <c r="AC11" s="400"/>
      <c r="AD11" s="392"/>
    </row>
    <row r="12" spans="1:32">
      <c r="A12" t="s">
        <v>11</v>
      </c>
      <c r="B12" s="391"/>
      <c r="C12" t="s">
        <v>220</v>
      </c>
      <c r="E12" s="1021">
        <f>IFERROR(IF(ROUND((E8*E10)*43560,-2)=0,"",ROUND((E8*E10)*43560,-2)),"")</f>
        <v>888600</v>
      </c>
      <c r="F12" s="1021"/>
      <c r="G12" s="1022"/>
      <c r="I12" s="391" t="s">
        <v>221</v>
      </c>
      <c r="N12" s="1021"/>
      <c r="O12" s="1021"/>
      <c r="P12" s="1021"/>
      <c r="Q12" s="1022"/>
      <c r="S12" s="391"/>
      <c r="T12" s="1023"/>
      <c r="U12" s="1024"/>
      <c r="V12" s="1024"/>
      <c r="W12" s="1024"/>
      <c r="X12" s="1024"/>
      <c r="Y12" s="1025"/>
      <c r="AA12" s="394"/>
      <c r="AB12" s="395"/>
      <c r="AC12" s="396"/>
      <c r="AD12" s="392"/>
    </row>
    <row r="13" spans="1:32" ht="4.5" customHeight="1">
      <c r="B13" s="391"/>
      <c r="E13" s="397"/>
      <c r="F13" s="397"/>
      <c r="G13" s="398"/>
      <c r="I13" s="391"/>
      <c r="N13" s="401"/>
      <c r="O13" s="401"/>
      <c r="P13" s="401"/>
      <c r="Q13" s="402"/>
      <c r="S13" s="391"/>
      <c r="T13" s="241"/>
      <c r="U13" s="241"/>
      <c r="V13" s="241"/>
      <c r="W13" s="241"/>
      <c r="X13" s="241"/>
      <c r="Y13" s="241"/>
      <c r="AA13" s="399"/>
      <c r="AB13" s="395"/>
      <c r="AC13" s="400"/>
      <c r="AD13" s="392"/>
    </row>
    <row r="14" spans="1:32">
      <c r="B14" s="391"/>
      <c r="C14" t="s">
        <v>222</v>
      </c>
      <c r="E14" s="1019"/>
      <c r="F14" s="1019"/>
      <c r="G14" s="1020"/>
      <c r="I14" s="391"/>
      <c r="N14" s="401"/>
      <c r="O14" s="401"/>
      <c r="P14" s="401"/>
      <c r="Q14" s="402"/>
      <c r="S14" s="391"/>
      <c r="T14" s="1023"/>
      <c r="U14" s="1024"/>
      <c r="V14" s="1024"/>
      <c r="W14" s="1024"/>
      <c r="X14" s="1024"/>
      <c r="Y14" s="1025"/>
      <c r="AA14" s="394"/>
      <c r="AB14" s="395"/>
      <c r="AC14" s="396"/>
      <c r="AD14" s="392"/>
    </row>
    <row r="15" spans="1:32" ht="4.5" customHeight="1">
      <c r="B15" s="391"/>
      <c r="E15" s="397"/>
      <c r="F15" s="397"/>
      <c r="G15" s="398"/>
      <c r="I15" s="391"/>
      <c r="N15" s="401"/>
      <c r="O15" s="401"/>
      <c r="P15" s="401"/>
      <c r="Q15" s="402"/>
      <c r="S15" s="391"/>
      <c r="T15" s="241"/>
      <c r="U15" s="241"/>
      <c r="V15" s="241"/>
      <c r="W15" s="241"/>
      <c r="X15" s="241"/>
      <c r="Y15" s="241"/>
      <c r="AA15" s="399"/>
      <c r="AB15" s="395"/>
      <c r="AC15" s="400"/>
      <c r="AD15" s="392"/>
    </row>
    <row r="16" spans="1:32">
      <c r="B16" s="391"/>
      <c r="C16" t="s">
        <v>223</v>
      </c>
      <c r="E16" s="1019"/>
      <c r="F16" s="1019"/>
      <c r="G16" s="1020"/>
      <c r="I16" s="391" t="s">
        <v>224</v>
      </c>
      <c r="N16" s="1021"/>
      <c r="O16" s="1021"/>
      <c r="P16" s="1021"/>
      <c r="Q16" s="1022"/>
      <c r="S16" s="391"/>
      <c r="T16" s="1023"/>
      <c r="U16" s="1024"/>
      <c r="V16" s="1024"/>
      <c r="W16" s="1024"/>
      <c r="X16" s="1024"/>
      <c r="Y16" s="1025"/>
      <c r="AA16" s="394"/>
      <c r="AB16" s="395"/>
      <c r="AC16" s="396"/>
      <c r="AD16" s="392"/>
    </row>
    <row r="17" spans="2:30" ht="4.5" customHeight="1">
      <c r="B17" s="391"/>
      <c r="E17" s="397"/>
      <c r="F17" s="397"/>
      <c r="G17" s="398"/>
      <c r="I17" s="391"/>
      <c r="N17" s="401"/>
      <c r="O17" s="401"/>
      <c r="P17" s="401"/>
      <c r="Q17" s="402"/>
      <c r="S17" s="391"/>
      <c r="AA17" s="189"/>
      <c r="AD17" s="392"/>
    </row>
    <row r="18" spans="2:30">
      <c r="B18" s="391"/>
      <c r="C18" t="s">
        <v>225</v>
      </c>
      <c r="E18" s="1021" t="str">
        <f>IF(ROUND((E14*E16)*43560,-2)=0,"",ROUND((E14*E16)*43560,-2))</f>
        <v/>
      </c>
      <c r="F18" s="1021"/>
      <c r="G18" s="1022"/>
      <c r="I18" s="391" t="s">
        <v>226</v>
      </c>
      <c r="N18" s="1021"/>
      <c r="O18" s="1021"/>
      <c r="P18" s="1021"/>
      <c r="Q18" s="1022"/>
      <c r="S18" s="391"/>
      <c r="T18" s="1030" t="s">
        <v>227</v>
      </c>
      <c r="U18" s="1030"/>
      <c r="V18" s="1030"/>
      <c r="W18" s="1030"/>
      <c r="X18" s="1030"/>
      <c r="Y18" s="1030"/>
      <c r="AA18" s="404">
        <f>IF(SUM(AA8,AA10,AA12,AA14,AA16)=0,"",SUM(AA8,AA10,AA12,AA14,AA16))</f>
        <v>10490</v>
      </c>
      <c r="AD18" s="392"/>
    </row>
    <row r="19" spans="2:30" ht="4.5" customHeight="1">
      <c r="B19" s="391"/>
      <c r="E19" s="397"/>
      <c r="F19" s="397"/>
      <c r="G19" s="398"/>
      <c r="I19" s="391"/>
      <c r="N19" s="189"/>
      <c r="O19" s="405"/>
      <c r="P19" s="405"/>
      <c r="Q19" s="406"/>
      <c r="S19" s="391"/>
      <c r="T19" s="403"/>
      <c r="U19" s="403"/>
      <c r="V19" s="403"/>
      <c r="W19" s="403"/>
      <c r="X19" s="403"/>
      <c r="Y19" s="403"/>
      <c r="AA19" s="407"/>
      <c r="AD19" s="392"/>
    </row>
    <row r="20" spans="2:30" ht="10.5" customHeight="1">
      <c r="B20" s="408"/>
      <c r="C20" s="409"/>
      <c r="D20" s="409"/>
      <c r="E20" s="409"/>
      <c r="F20" s="409"/>
      <c r="G20" s="410"/>
      <c r="I20" s="411"/>
      <c r="J20" s="409"/>
      <c r="K20" s="409"/>
      <c r="L20" s="409"/>
      <c r="M20" s="409"/>
      <c r="N20" s="409"/>
      <c r="O20" s="409"/>
      <c r="P20" s="409"/>
      <c r="Q20" s="410"/>
      <c r="S20" s="391"/>
      <c r="T20" s="412" t="s">
        <v>228</v>
      </c>
      <c r="U20" s="412"/>
      <c r="V20" s="412"/>
      <c r="W20" s="412"/>
      <c r="X20" s="412"/>
      <c r="Y20" s="412"/>
      <c r="Z20" s="412"/>
      <c r="AA20" s="412"/>
      <c r="AB20" s="412"/>
      <c r="AC20" s="413">
        <f>IFERROR(IF(((AA8*AC8)+(AA10*AC10)+(AA12*AC12)+(AA14*AC14)+(AA16*AC16))*12=0,"",((AA8*AC8)+(AA10*AC10)+(AA12*AC12)+(AA14*AC14)+(AA16*AC16))*12),"")</f>
        <v>188820</v>
      </c>
      <c r="AD20" s="414"/>
    </row>
    <row r="21" spans="2:30" ht="3.75" customHeight="1">
      <c r="S21" s="391"/>
      <c r="T21" s="412"/>
      <c r="U21" s="412"/>
      <c r="V21" s="412"/>
      <c r="W21" s="412"/>
      <c r="X21" s="412"/>
      <c r="Y21" s="412"/>
      <c r="Z21" s="412"/>
      <c r="AA21" s="412"/>
      <c r="AB21" s="412"/>
      <c r="AC21" s="413"/>
      <c r="AD21" s="414"/>
    </row>
    <row r="22" spans="2:30">
      <c r="B22" s="393"/>
      <c r="C22" s="1009" t="s">
        <v>229</v>
      </c>
      <c r="D22" s="1009"/>
      <c r="E22" s="1009"/>
      <c r="F22" s="1009"/>
      <c r="G22" s="1009"/>
      <c r="H22" s="1009"/>
      <c r="I22" s="1009"/>
      <c r="J22" s="1009"/>
      <c r="K22" s="1009"/>
      <c r="L22" s="1009"/>
      <c r="M22" s="1009"/>
      <c r="N22" s="1009"/>
      <c r="O22" s="1009"/>
      <c r="P22" s="1009"/>
      <c r="Q22" s="1010"/>
      <c r="S22" s="391"/>
      <c r="T22" s="412" t="s">
        <v>230</v>
      </c>
      <c r="U22" s="412"/>
      <c r="V22" s="412"/>
      <c r="W22" s="412"/>
      <c r="X22" s="412"/>
      <c r="Y22" s="412"/>
      <c r="Z22" s="412"/>
      <c r="AA22" s="415">
        <f>INPUT!B47</f>
        <v>0.05</v>
      </c>
      <c r="AB22" s="412"/>
      <c r="AC22" s="413">
        <f>IFERROR(IF(AA22*AC20=0,"",AA22*AC20),"")</f>
        <v>9441</v>
      </c>
      <c r="AD22" s="414"/>
    </row>
    <row r="23" spans="2:30" ht="5.25" customHeight="1">
      <c r="B23" s="391"/>
      <c r="C23" s="1"/>
      <c r="D23" s="1"/>
      <c r="E23" s="1"/>
      <c r="F23" s="1"/>
      <c r="G23" s="1"/>
      <c r="H23" s="1"/>
      <c r="I23" s="1"/>
      <c r="J23" s="1"/>
      <c r="K23" s="1"/>
      <c r="L23" s="1"/>
      <c r="M23" s="1"/>
      <c r="N23" s="1"/>
      <c r="O23" s="1"/>
      <c r="P23" s="1"/>
      <c r="Q23" s="416"/>
      <c r="S23" s="391"/>
      <c r="T23" s="412"/>
      <c r="U23" s="412"/>
      <c r="V23" s="412"/>
      <c r="W23" s="412"/>
      <c r="X23" s="412"/>
      <c r="Y23" s="412"/>
      <c r="Z23" s="412"/>
      <c r="AA23" s="417"/>
      <c r="AB23" s="412"/>
      <c r="AC23" s="413"/>
      <c r="AD23" s="414"/>
    </row>
    <row r="24" spans="2:30" ht="15" customHeight="1">
      <c r="B24" s="391"/>
      <c r="C24" s="16" t="s">
        <v>231</v>
      </c>
      <c r="D24" s="16"/>
      <c r="E24" s="1031"/>
      <c r="F24" s="1032"/>
      <c r="G24" s="1032"/>
      <c r="H24" s="1033"/>
      <c r="I24" s="395"/>
      <c r="J24" s="1031"/>
      <c r="K24" s="1032"/>
      <c r="L24" s="1032"/>
      <c r="M24" s="1032"/>
      <c r="N24" s="1032"/>
      <c r="O24" s="1032"/>
      <c r="P24" s="1033"/>
      <c r="Q24" s="392"/>
      <c r="S24" s="391"/>
      <c r="T24" s="412" t="s">
        <v>232</v>
      </c>
      <c r="U24" s="412"/>
      <c r="V24" s="412"/>
      <c r="W24" s="412"/>
      <c r="X24" s="412"/>
      <c r="Y24" s="412"/>
      <c r="Z24" s="412"/>
      <c r="AA24" s="412"/>
      <c r="AB24" s="412"/>
      <c r="AC24" s="413">
        <f>IFERROR(AC20-AC22,"")</f>
        <v>179379</v>
      </c>
      <c r="AD24" s="414"/>
    </row>
    <row r="25" spans="2:30" ht="5.25" customHeight="1">
      <c r="B25" s="391"/>
      <c r="C25" s="16"/>
      <c r="D25" s="16"/>
      <c r="E25" s="395"/>
      <c r="F25" s="395"/>
      <c r="G25" s="395"/>
      <c r="H25" s="395"/>
      <c r="I25" s="395"/>
      <c r="J25" s="395"/>
      <c r="K25" s="395"/>
      <c r="L25" s="395"/>
      <c r="M25" s="395"/>
      <c r="N25" s="395"/>
      <c r="O25" s="395"/>
      <c r="P25" s="395"/>
      <c r="Q25" s="392"/>
      <c r="S25" s="391"/>
      <c r="T25" s="412"/>
      <c r="U25" s="412"/>
      <c r="V25" s="412"/>
      <c r="W25" s="412"/>
      <c r="X25" s="412"/>
      <c r="Y25" s="412"/>
      <c r="Z25" s="412"/>
      <c r="AA25" s="412"/>
      <c r="AB25" s="412"/>
      <c r="AC25" s="413"/>
      <c r="AD25" s="414"/>
    </row>
    <row r="26" spans="2:30" ht="15" customHeight="1">
      <c r="B26" s="391"/>
      <c r="C26" s="16" t="s">
        <v>233</v>
      </c>
      <c r="D26" s="16"/>
      <c r="E26" s="1034">
        <f>IFERROR(IF(J26*AA18=0,"",J26*AA18),"")</f>
        <v>3933750</v>
      </c>
      <c r="F26" s="1035"/>
      <c r="G26" s="1035"/>
      <c r="H26" s="1036"/>
      <c r="I26" s="395"/>
      <c r="J26" s="1037">
        <f>IF('Sales Grid'!B41="","",'Sales Grid'!B41)</f>
        <v>375</v>
      </c>
      <c r="K26" s="1032"/>
      <c r="L26" s="1032"/>
      <c r="M26" s="1032"/>
      <c r="N26" s="1032"/>
      <c r="O26" s="1032"/>
      <c r="P26" s="1033"/>
      <c r="Q26" s="392"/>
      <c r="S26" s="391"/>
      <c r="T26" s="412" t="s">
        <v>234</v>
      </c>
      <c r="U26" s="412"/>
      <c r="V26" s="412"/>
      <c r="W26" s="412"/>
      <c r="X26" s="412"/>
      <c r="Y26" s="412"/>
      <c r="Z26" s="412"/>
      <c r="AA26" s="415">
        <f>INPUT!B48</f>
        <v>0.05</v>
      </c>
      <c r="AB26" s="412"/>
      <c r="AC26" s="413">
        <f>IFERROR(IF(AC24*AA26=0,"",AC24*AA26),"")</f>
        <v>8968.9500000000007</v>
      </c>
      <c r="AD26" s="414"/>
    </row>
    <row r="27" spans="2:30" ht="5.25" customHeight="1">
      <c r="B27" s="391"/>
      <c r="C27" s="16"/>
      <c r="D27" s="16"/>
      <c r="E27" s="395"/>
      <c r="F27" s="395"/>
      <c r="G27" s="395"/>
      <c r="H27" s="395"/>
      <c r="I27" s="395"/>
      <c r="J27" s="395"/>
      <c r="K27" s="395"/>
      <c r="L27" s="395"/>
      <c r="M27" s="395"/>
      <c r="N27" s="395"/>
      <c r="O27" s="395"/>
      <c r="P27" s="395"/>
      <c r="Q27" s="392"/>
      <c r="S27" s="391"/>
      <c r="T27" s="412"/>
      <c r="U27" s="412"/>
      <c r="V27" s="412"/>
      <c r="W27" s="412"/>
      <c r="X27" s="412"/>
      <c r="Y27" s="412"/>
      <c r="Z27" s="412"/>
      <c r="AA27" s="412"/>
      <c r="AB27" s="412"/>
      <c r="AC27" s="413"/>
      <c r="AD27" s="414"/>
    </row>
    <row r="28" spans="2:30" ht="15" customHeight="1">
      <c r="B28" s="391"/>
      <c r="C28" s="1008" t="s">
        <v>235</v>
      </c>
      <c r="D28" s="1008"/>
      <c r="E28" s="1034"/>
      <c r="F28" s="1035"/>
      <c r="G28" s="1035"/>
      <c r="H28" s="1036"/>
      <c r="I28" s="395"/>
      <c r="J28" s="1038"/>
      <c r="K28" s="1039"/>
      <c r="L28" s="1039"/>
      <c r="M28" s="1039"/>
      <c r="N28" s="1039"/>
      <c r="O28" s="1039"/>
      <c r="P28" s="1040"/>
      <c r="Q28" s="392"/>
      <c r="S28" s="391"/>
      <c r="T28" s="412" t="s">
        <v>236</v>
      </c>
      <c r="U28" s="412"/>
      <c r="V28" s="412"/>
      <c r="W28" s="412"/>
      <c r="X28" s="412"/>
      <c r="Y28" s="412"/>
      <c r="Z28" s="412"/>
      <c r="AA28" s="412"/>
      <c r="AB28" s="412"/>
      <c r="AC28" s="413">
        <f>IFERROR(AC24-AC26,"")</f>
        <v>170410.05</v>
      </c>
      <c r="AD28" s="414"/>
    </row>
    <row r="29" spans="2:30" ht="3.75" customHeight="1">
      <c r="B29" s="391"/>
      <c r="C29" s="16"/>
      <c r="D29" s="16"/>
      <c r="Q29" s="392"/>
      <c r="S29" s="391"/>
      <c r="T29" s="412"/>
      <c r="U29" s="412"/>
      <c r="V29" s="412"/>
      <c r="W29" s="412"/>
      <c r="X29" s="412"/>
      <c r="Y29" s="412"/>
      <c r="Z29" s="412"/>
      <c r="AA29" s="412"/>
      <c r="AB29" s="412"/>
      <c r="AC29" s="418"/>
      <c r="AD29" s="414"/>
    </row>
    <row r="30" spans="2:30" ht="15" customHeight="1">
      <c r="B30" s="391"/>
      <c r="C30" s="1008"/>
      <c r="D30" s="1008"/>
      <c r="E30" s="981"/>
      <c r="F30" s="981"/>
      <c r="G30" s="981"/>
      <c r="H30" s="981"/>
      <c r="J30" s="981"/>
      <c r="K30" s="981"/>
      <c r="L30" s="981"/>
      <c r="M30" s="981"/>
      <c r="N30" s="981"/>
      <c r="O30" s="981"/>
      <c r="P30" s="1"/>
      <c r="Q30" s="392"/>
      <c r="S30" s="391"/>
      <c r="T30" s="412" t="s">
        <v>237</v>
      </c>
      <c r="U30" s="1041">
        <f>INPUT!B51</f>
        <v>5.2499999999999998E-2</v>
      </c>
      <c r="V30" s="1042"/>
      <c r="W30" s="419"/>
      <c r="X30" s="419"/>
      <c r="Y30" s="1043" t="s">
        <v>238</v>
      </c>
      <c r="Z30" s="1043"/>
      <c r="AA30" s="1043"/>
      <c r="AB30" s="412"/>
      <c r="AC30" s="420">
        <f>IFERROR(IF(AC28/U30=0,"",AC28/U30),"")</f>
        <v>3245905.7142857141</v>
      </c>
      <c r="AD30" s="414"/>
    </row>
    <row r="31" spans="2:30" ht="5.25" customHeight="1">
      <c r="B31" s="408"/>
      <c r="C31" s="409"/>
      <c r="D31" s="409"/>
      <c r="E31" s="409"/>
      <c r="F31" s="409"/>
      <c r="G31" s="409"/>
      <c r="H31" s="409"/>
      <c r="I31" s="409"/>
      <c r="J31" s="409"/>
      <c r="K31" s="409"/>
      <c r="L31" s="409"/>
      <c r="M31" s="409"/>
      <c r="N31" s="409"/>
      <c r="O31" s="409"/>
      <c r="P31" s="409"/>
      <c r="Q31" s="410"/>
      <c r="S31" s="408"/>
      <c r="T31" s="421"/>
      <c r="U31" s="421"/>
      <c r="V31" s="421"/>
      <c r="W31" s="421"/>
      <c r="X31" s="421"/>
      <c r="Y31" s="421"/>
      <c r="Z31" s="421"/>
      <c r="AA31" s="421"/>
      <c r="AB31" s="421"/>
      <c r="AC31" s="421"/>
      <c r="AD31" s="422"/>
    </row>
    <row r="32" spans="2:30" ht="6.75" customHeight="1"/>
    <row r="33" spans="2:30" ht="4.5" customHeight="1">
      <c r="B33" s="423"/>
      <c r="C33" s="423"/>
      <c r="D33" s="423"/>
      <c r="E33" s="423"/>
      <c r="F33" s="423"/>
      <c r="G33" s="423"/>
      <c r="H33" s="423"/>
      <c r="I33" s="423"/>
      <c r="J33" s="423"/>
      <c r="K33" s="423"/>
      <c r="L33" s="423"/>
      <c r="M33" s="423"/>
      <c r="N33" s="423"/>
      <c r="O33" s="423"/>
      <c r="P33" s="423"/>
      <c r="Q33" s="423"/>
      <c r="R33" s="423"/>
      <c r="S33" s="423"/>
      <c r="T33" s="423"/>
      <c r="U33" s="423"/>
      <c r="V33" s="423"/>
      <c r="W33" s="423"/>
      <c r="X33" s="423"/>
      <c r="Y33" s="423"/>
      <c r="Z33" s="423"/>
      <c r="AA33" s="423"/>
      <c r="AB33" s="423"/>
      <c r="AC33" s="423"/>
      <c r="AD33" s="423"/>
    </row>
    <row r="34" spans="2:30" ht="24.75" customHeight="1">
      <c r="C34" s="1044" t="s">
        <v>51</v>
      </c>
      <c r="D34" s="1044"/>
      <c r="E34" s="1044"/>
      <c r="F34" s="1044"/>
      <c r="G34" s="1044"/>
      <c r="H34" s="1044"/>
      <c r="I34" s="1044"/>
      <c r="J34" s="1044"/>
      <c r="K34" s="1044"/>
      <c r="L34" s="1044"/>
      <c r="M34" s="1044"/>
      <c r="N34" s="1044"/>
      <c r="O34" s="1044"/>
      <c r="P34" s="1044"/>
      <c r="Q34" s="1044"/>
      <c r="R34" s="1044"/>
      <c r="S34" s="1044"/>
      <c r="T34" s="1044"/>
      <c r="U34" s="1044"/>
      <c r="V34" s="1044"/>
      <c r="W34" s="1044"/>
      <c r="X34" s="1044"/>
      <c r="Y34" s="1044"/>
      <c r="Z34" s="1044"/>
      <c r="AA34" s="1044"/>
      <c r="AB34" s="1044"/>
      <c r="AC34" s="1044"/>
      <c r="AD34" s="1044"/>
    </row>
    <row r="35" spans="2:30">
      <c r="B35" s="1011" t="s">
        <v>239</v>
      </c>
      <c r="C35" s="1009"/>
      <c r="D35" s="1009"/>
      <c r="E35" s="1009"/>
      <c r="F35" s="1009"/>
      <c r="G35" s="1009"/>
      <c r="H35" s="1009"/>
      <c r="I35" s="1009"/>
      <c r="J35" s="1010"/>
      <c r="L35" s="1011" t="s">
        <v>240</v>
      </c>
      <c r="M35" s="1009"/>
      <c r="N35" s="1009"/>
      <c r="O35" s="1009"/>
      <c r="P35" s="1009"/>
      <c r="Q35" s="1009"/>
      <c r="R35" s="1009"/>
      <c r="S35" s="1009"/>
      <c r="T35" s="1009"/>
      <c r="U35" s="1009"/>
      <c r="V35" s="1010"/>
      <c r="X35" s="1011" t="s">
        <v>241</v>
      </c>
      <c r="Y35" s="1009"/>
      <c r="Z35" s="1009"/>
      <c r="AA35" s="1009"/>
      <c r="AB35" s="1009"/>
      <c r="AC35" s="1009"/>
      <c r="AD35" s="1010"/>
    </row>
    <row r="36" spans="2:30" ht="12" customHeight="1">
      <c r="B36" s="391"/>
      <c r="G36" s="1045" t="s">
        <v>242</v>
      </c>
      <c r="H36" s="1045"/>
      <c r="I36" s="1045"/>
      <c r="J36" s="392"/>
      <c r="L36" s="391"/>
      <c r="V36" s="392"/>
      <c r="X36" s="391"/>
      <c r="AD36" s="392"/>
    </row>
    <row r="37" spans="2:30" ht="12.75" customHeight="1">
      <c r="B37" s="391"/>
      <c r="C37" s="52" t="s">
        <v>243</v>
      </c>
      <c r="D37" s="52"/>
      <c r="E37" s="424">
        <f>INPUT!B26</f>
        <v>3928960</v>
      </c>
      <c r="G37" s="1046">
        <f>IFERROR(IF(E37/AA18=0,"",E37/AA18),"")</f>
        <v>374.54337464251671</v>
      </c>
      <c r="H37" s="1047"/>
      <c r="I37" s="1048"/>
      <c r="J37" s="392"/>
      <c r="L37" s="391"/>
      <c r="M37" s="52" t="s">
        <v>244</v>
      </c>
      <c r="N37" s="52"/>
      <c r="O37" s="52"/>
      <c r="P37" s="52"/>
      <c r="Q37" s="1049">
        <f>E46</f>
        <v>3040360</v>
      </c>
      <c r="R37" s="1049"/>
      <c r="S37" s="1049"/>
      <c r="T37" s="1049"/>
      <c r="U37" s="1049"/>
      <c r="V37" s="392"/>
      <c r="X37" s="391"/>
      <c r="Y37" t="s">
        <v>245</v>
      </c>
      <c r="AA37" s="1021">
        <f>IFERROR(AA45+AC43,"")</f>
        <v>3930000</v>
      </c>
      <c r="AB37" s="1021"/>
      <c r="AC37" s="1021"/>
      <c r="AD37" s="392"/>
    </row>
    <row r="38" spans="2:30" ht="12.75" customHeight="1">
      <c r="B38" s="391"/>
      <c r="C38" s="52"/>
      <c r="D38" s="52"/>
      <c r="J38" s="392"/>
      <c r="L38" s="391"/>
      <c r="M38" s="52" t="s">
        <v>246</v>
      </c>
      <c r="N38" s="52"/>
      <c r="O38" s="52"/>
      <c r="P38" s="52"/>
      <c r="Q38" s="413"/>
      <c r="R38" s="1050"/>
      <c r="S38" s="1050"/>
      <c r="T38" s="1050"/>
      <c r="U38" s="1050"/>
      <c r="V38" s="392"/>
      <c r="X38" s="391"/>
      <c r="AD38" s="392"/>
    </row>
    <row r="39" spans="2:30" ht="12.75" customHeight="1">
      <c r="B39" s="391"/>
      <c r="C39" s="52" t="s">
        <v>247</v>
      </c>
      <c r="D39" s="52"/>
      <c r="E39" s="189"/>
      <c r="J39" s="392"/>
      <c r="L39" s="391"/>
      <c r="M39" s="52" t="s">
        <v>248</v>
      </c>
      <c r="N39" s="52"/>
      <c r="O39" s="52"/>
      <c r="P39" s="52"/>
      <c r="Q39" s="1051"/>
      <c r="R39" s="1051"/>
      <c r="S39" s="1051"/>
      <c r="T39" s="1051"/>
      <c r="U39" s="1051"/>
      <c r="V39" s="392"/>
      <c r="X39" s="391"/>
      <c r="Y39" t="s">
        <v>249</v>
      </c>
      <c r="AC39" s="189">
        <f>E12</f>
        <v>888600</v>
      </c>
      <c r="AD39" s="392"/>
    </row>
    <row r="40" spans="2:30" ht="12.75" customHeight="1">
      <c r="B40" s="391"/>
      <c r="C40" s="426"/>
      <c r="D40" s="426"/>
      <c r="E40" s="427"/>
      <c r="J40" s="392"/>
      <c r="L40" s="391"/>
      <c r="M40" s="52" t="s">
        <v>250</v>
      </c>
      <c r="N40" s="52"/>
      <c r="O40" s="52"/>
      <c r="P40" s="52"/>
      <c r="Q40" s="1051"/>
      <c r="R40" s="1051"/>
      <c r="S40" s="1051"/>
      <c r="T40" s="1051"/>
      <c r="U40" s="1051"/>
      <c r="V40" s="392"/>
      <c r="X40" s="391"/>
      <c r="AD40" s="392"/>
    </row>
    <row r="41" spans="2:30" ht="12.75" customHeight="1">
      <c r="B41" s="391"/>
      <c r="C41" s="52" t="s">
        <v>251</v>
      </c>
      <c r="D41" s="52"/>
      <c r="E41" s="424">
        <f>IF(OR(IFERROR(E37-E39,0)=0,ISERROR(E37-E39)),"",E37-E39)</f>
        <v>3928960</v>
      </c>
      <c r="J41" s="392"/>
      <c r="L41" s="391"/>
      <c r="M41" s="52" t="s">
        <v>252</v>
      </c>
      <c r="N41" s="52"/>
      <c r="O41" s="52"/>
      <c r="P41" s="52"/>
      <c r="Q41" s="1051"/>
      <c r="R41" s="1051"/>
      <c r="S41" s="1051"/>
      <c r="T41" s="1051"/>
      <c r="U41" s="1051"/>
      <c r="V41" s="392"/>
      <c r="X41" s="391"/>
      <c r="Y41" t="s">
        <v>253</v>
      </c>
      <c r="AC41" s="189" t="str">
        <f>E18</f>
        <v/>
      </c>
      <c r="AD41" s="392"/>
    </row>
    <row r="42" spans="2:30" ht="8.25" customHeight="1">
      <c r="B42" s="391"/>
      <c r="C42" s="52"/>
      <c r="D42" s="52"/>
      <c r="E42" s="189"/>
      <c r="J42" s="392"/>
      <c r="L42" s="391"/>
      <c r="M42" s="52"/>
      <c r="N42" s="52"/>
      <c r="O42" s="52"/>
      <c r="P42" s="52"/>
      <c r="Q42" s="52"/>
      <c r="R42" s="52"/>
      <c r="S42" s="428"/>
      <c r="T42" s="428"/>
      <c r="U42" s="429"/>
      <c r="V42" s="392"/>
      <c r="X42" s="391"/>
      <c r="AD42" s="392"/>
    </row>
    <row r="43" spans="2:30" ht="20.25" customHeight="1">
      <c r="B43" s="391"/>
      <c r="C43" s="52" t="s">
        <v>254</v>
      </c>
      <c r="D43" s="52"/>
      <c r="E43" s="189">
        <f>E12</f>
        <v>888600</v>
      </c>
      <c r="J43" s="392"/>
      <c r="L43" s="391"/>
      <c r="M43" s="430" t="s">
        <v>255</v>
      </c>
      <c r="N43" s="430"/>
      <c r="O43" s="431"/>
      <c r="P43" s="431"/>
      <c r="Q43" s="1056">
        <f>Q37-Q40</f>
        <v>3040360</v>
      </c>
      <c r="R43" s="1056"/>
      <c r="S43" s="1056"/>
      <c r="T43" s="1056"/>
      <c r="U43" s="1056"/>
      <c r="V43" s="392"/>
      <c r="X43" s="391"/>
      <c r="Y43" s="2" t="s">
        <v>256</v>
      </c>
      <c r="AC43" s="189">
        <f>IFERROR( IF(E18="", MROUND(AC39,5000), MROUND(AC39+AC41,5000)), "" )</f>
        <v>890000</v>
      </c>
      <c r="AD43" s="392"/>
    </row>
    <row r="44" spans="2:30" ht="7.5" customHeight="1">
      <c r="B44" s="391"/>
      <c r="C44" s="52"/>
      <c r="D44" s="52"/>
      <c r="E44" s="189"/>
      <c r="J44" s="392"/>
      <c r="L44" s="391"/>
      <c r="M44" s="431"/>
      <c r="N44" s="431"/>
      <c r="O44" s="431"/>
      <c r="P44" s="431"/>
      <c r="Q44" s="431"/>
      <c r="R44" s="431"/>
      <c r="S44" s="432"/>
      <c r="T44" s="432"/>
      <c r="U44" s="433"/>
      <c r="V44" s="392"/>
      <c r="X44" s="391"/>
      <c r="AD44" s="392"/>
    </row>
    <row r="45" spans="2:30" ht="12.75" customHeight="1">
      <c r="B45" s="391"/>
      <c r="C45" s="52"/>
      <c r="D45" s="52"/>
      <c r="E45" s="189"/>
      <c r="G45" s="1045" t="s">
        <v>242</v>
      </c>
      <c r="H45" s="1045"/>
      <c r="I45" s="1045"/>
      <c r="J45" s="392"/>
      <c r="L45" s="391"/>
      <c r="M45" s="52" t="s">
        <v>257</v>
      </c>
      <c r="N45" s="52"/>
      <c r="O45" s="52"/>
      <c r="P45" s="52"/>
      <c r="Q45" s="1051"/>
      <c r="R45" s="1051"/>
      <c r="S45" s="1051"/>
      <c r="T45" s="1051"/>
      <c r="U45" s="1051"/>
      <c r="V45" s="392"/>
      <c r="X45" s="391"/>
      <c r="Y45" t="s">
        <v>258</v>
      </c>
      <c r="AA45" s="1021">
        <f>IFERROR(IF(Q43="", MROUND(E46,5000), MROUND(Q43,5000)),"")</f>
        <v>3040000</v>
      </c>
      <c r="AB45" s="1021"/>
      <c r="AC45" s="1021"/>
      <c r="AD45" s="392"/>
    </row>
    <row r="46" spans="2:30" ht="12.75" customHeight="1">
      <c r="B46" s="391"/>
      <c r="C46" s="431" t="s">
        <v>244</v>
      </c>
      <c r="D46" s="431"/>
      <c r="E46" s="434">
        <f>IFERROR(E41-E43,"")</f>
        <v>3040360</v>
      </c>
      <c r="G46" s="1052">
        <f>IFERROR(E46/AA18,"")</f>
        <v>289.83412774070541</v>
      </c>
      <c r="H46" s="1053"/>
      <c r="I46" s="1054"/>
      <c r="J46" s="392"/>
      <c r="L46" s="391"/>
      <c r="M46" s="52"/>
      <c r="N46" s="52"/>
      <c r="O46" s="52"/>
      <c r="P46" s="52"/>
      <c r="Q46" s="52"/>
      <c r="R46" s="52"/>
      <c r="S46" s="428"/>
      <c r="T46" s="425"/>
      <c r="U46" s="401"/>
      <c r="V46" s="392"/>
      <c r="X46" s="391"/>
      <c r="AD46" s="392"/>
    </row>
    <row r="47" spans="2:30" ht="23.25" customHeight="1">
      <c r="B47" s="391"/>
      <c r="E47" s="189"/>
      <c r="J47" s="392"/>
      <c r="L47" s="391"/>
      <c r="M47" s="430" t="s">
        <v>259</v>
      </c>
      <c r="N47" s="430"/>
      <c r="O47" s="431"/>
      <c r="P47" s="431"/>
      <c r="Q47" s="1055">
        <f>Q45+Q43</f>
        <v>3040360</v>
      </c>
      <c r="R47" s="1055"/>
      <c r="S47" s="1055"/>
      <c r="T47" s="1055"/>
      <c r="U47" s="1055"/>
      <c r="V47" s="392"/>
      <c r="X47" s="391"/>
      <c r="AD47" s="392"/>
    </row>
    <row r="48" spans="2:30" ht="3.75" customHeight="1">
      <c r="B48" s="408"/>
      <c r="C48" s="409"/>
      <c r="D48" s="409"/>
      <c r="E48" s="409"/>
      <c r="F48" s="409"/>
      <c r="G48" s="409"/>
      <c r="H48" s="409"/>
      <c r="I48" s="409"/>
      <c r="J48" s="410"/>
      <c r="L48" s="408"/>
      <c r="M48" s="409"/>
      <c r="N48" s="409"/>
      <c r="O48" s="409"/>
      <c r="P48" s="409"/>
      <c r="Q48" s="409"/>
      <c r="R48" s="409"/>
      <c r="S48" s="409"/>
      <c r="T48" s="409"/>
      <c r="U48" s="409"/>
      <c r="V48" s="410"/>
      <c r="X48" s="408"/>
      <c r="Y48" s="409"/>
      <c r="Z48" s="409"/>
      <c r="AA48" s="409"/>
      <c r="AB48" s="409"/>
      <c r="AC48" s="409"/>
      <c r="AD48" s="410"/>
    </row>
    <row r="49" spans="2:30" ht="6.75" customHeight="1"/>
    <row r="50" spans="2:30" ht="4.5" customHeight="1">
      <c r="B50" s="423"/>
      <c r="C50" s="423"/>
      <c r="D50" s="423"/>
      <c r="E50" s="423"/>
      <c r="F50" s="423"/>
      <c r="G50" s="423"/>
      <c r="H50" s="423"/>
      <c r="I50" s="423"/>
      <c r="J50" s="423"/>
      <c r="K50" s="423"/>
      <c r="L50" s="423"/>
      <c r="M50" s="423"/>
      <c r="N50" s="423"/>
      <c r="O50" s="423"/>
      <c r="P50" s="423"/>
      <c r="Q50" s="423"/>
      <c r="R50" s="423"/>
      <c r="S50" s="423"/>
      <c r="T50" s="423"/>
      <c r="U50" s="423"/>
      <c r="V50" s="423"/>
      <c r="W50" s="423"/>
      <c r="X50" s="423"/>
      <c r="Y50" s="423"/>
      <c r="Z50" s="423"/>
      <c r="AA50" s="423"/>
      <c r="AB50" s="423"/>
      <c r="AC50" s="423"/>
      <c r="AD50" s="423"/>
    </row>
    <row r="51" spans="2:30">
      <c r="C51" s="13"/>
    </row>
  </sheetData>
  <sheetProtection formatColumns="0" formatRows="0" insertColumns="0" insertRows="0"/>
  <protectedRanges>
    <protectedRange sqref="E28:H28" name="Range1"/>
  </protectedRanges>
  <mergeCells count="56">
    <mergeCell ref="G46:I46"/>
    <mergeCell ref="Q47:U47"/>
    <mergeCell ref="Q40:U40"/>
    <mergeCell ref="Q41:U41"/>
    <mergeCell ref="Q43:U43"/>
    <mergeCell ref="G45:I45"/>
    <mergeCell ref="Q45:U45"/>
    <mergeCell ref="AA45:AC45"/>
    <mergeCell ref="G36:I36"/>
    <mergeCell ref="G37:I37"/>
    <mergeCell ref="Q37:U37"/>
    <mergeCell ref="AA37:AC37"/>
    <mergeCell ref="R38:U38"/>
    <mergeCell ref="Q39:U39"/>
    <mergeCell ref="U30:V30"/>
    <mergeCell ref="Y30:AA30"/>
    <mergeCell ref="C34:AD34"/>
    <mergeCell ref="B35:J35"/>
    <mergeCell ref="L35:V35"/>
    <mergeCell ref="X35:AD35"/>
    <mergeCell ref="C30:D30"/>
    <mergeCell ref="E30:H30"/>
    <mergeCell ref="J30:O30"/>
    <mergeCell ref="E26:H26"/>
    <mergeCell ref="J26:P26"/>
    <mergeCell ref="C28:D28"/>
    <mergeCell ref="E28:H28"/>
    <mergeCell ref="J28:P28"/>
    <mergeCell ref="E18:G18"/>
    <mergeCell ref="N18:Q18"/>
    <mergeCell ref="T18:Y18"/>
    <mergeCell ref="C22:Q22"/>
    <mergeCell ref="E24:H24"/>
    <mergeCell ref="J24:P24"/>
    <mergeCell ref="E16:G16"/>
    <mergeCell ref="N16:Q16"/>
    <mergeCell ref="T16:Y16"/>
    <mergeCell ref="E8:G8"/>
    <mergeCell ref="N8:Q8"/>
    <mergeCell ref="T8:Y8"/>
    <mergeCell ref="E10:G10"/>
    <mergeCell ref="N10:Q10"/>
    <mergeCell ref="T10:Y10"/>
    <mergeCell ref="E12:G12"/>
    <mergeCell ref="N12:Q12"/>
    <mergeCell ref="T12:Y12"/>
    <mergeCell ref="E14:G14"/>
    <mergeCell ref="T14:Y14"/>
    <mergeCell ref="C6:G6"/>
    <mergeCell ref="I6:Q6"/>
    <mergeCell ref="T6:Y6"/>
    <mergeCell ref="F2:Z2"/>
    <mergeCell ref="AB2:AD2"/>
    <mergeCell ref="D4:E4"/>
    <mergeCell ref="K4:N4"/>
    <mergeCell ref="S4:AD4"/>
  </mergeCells>
  <printOptions horizontalCentered="1"/>
  <pageMargins left="0.25" right="0.25" top="0.75" bottom="0.75" header="0.3" footer="0.3"/>
  <pageSetup scale="97" orientation="portrait" r:id="rId1"/>
  <drawing r:id="rId2"/>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3D2130-3FE7-4D1A-B9DF-AA9E1ED98657}">
  <sheetPr codeName="Sheet45">
    <tabColor theme="9" tint="-0.249977111117893"/>
    <pageSetUpPr fitToPage="1"/>
  </sheetPr>
  <dimension ref="A1:AA43"/>
  <sheetViews>
    <sheetView view="pageLayout" zoomScale="115" zoomScaleNormal="130" zoomScaleSheetLayoutView="100" zoomScalePageLayoutView="115" workbookViewId="0">
      <selection activeCell="A2" sqref="A2"/>
    </sheetView>
  </sheetViews>
  <sheetFormatPr defaultColWidth="8.5546875" defaultRowHeight="14.4"/>
  <cols>
    <col min="1" max="14" width="8.6640625" customWidth="1"/>
  </cols>
  <sheetData>
    <row r="1" spans="1:27" s="105" customFormat="1" ht="20.85" customHeight="1">
      <c r="A1" s="982" t="s">
        <v>89</v>
      </c>
      <c r="B1" s="982"/>
      <c r="C1" s="982"/>
      <c r="D1" s="982"/>
      <c r="E1" s="982"/>
      <c r="F1" s="982"/>
      <c r="G1" s="982"/>
      <c r="H1" s="982"/>
      <c r="I1" s="982"/>
      <c r="J1" s="982"/>
      <c r="K1" s="982"/>
      <c r="L1" s="982"/>
      <c r="M1" s="982"/>
      <c r="N1" s="982"/>
      <c r="O1" s="982"/>
      <c r="P1" s="57"/>
    </row>
    <row r="2" spans="1:27">
      <c r="A2" s="21"/>
      <c r="B2" s="21"/>
      <c r="C2" s="21"/>
      <c r="D2" s="21"/>
      <c r="E2" s="21"/>
      <c r="F2" s="21"/>
      <c r="G2" s="21"/>
      <c r="H2" s="21"/>
      <c r="I2" s="21"/>
      <c r="J2" s="21"/>
      <c r="K2" s="21"/>
      <c r="L2" s="21"/>
      <c r="M2" s="21"/>
      <c r="N2" s="21"/>
      <c r="O2" s="21"/>
    </row>
    <row r="3" spans="1:27">
      <c r="A3" s="21"/>
      <c r="B3" s="21"/>
      <c r="C3" s="21"/>
      <c r="D3" s="21"/>
      <c r="E3" s="21"/>
      <c r="F3" s="21"/>
      <c r="G3" s="21"/>
      <c r="H3" s="21"/>
      <c r="I3" s="21"/>
      <c r="J3" s="21"/>
      <c r="K3" s="21"/>
      <c r="L3" s="21"/>
      <c r="M3" s="21"/>
      <c r="N3" s="21"/>
      <c r="O3" s="21"/>
    </row>
    <row r="4" spans="1:27">
      <c r="A4" s="21"/>
      <c r="B4" s="21"/>
      <c r="C4" s="21"/>
      <c r="D4" s="21"/>
      <c r="E4" s="21"/>
      <c r="F4" s="21"/>
      <c r="G4" s="21"/>
      <c r="H4" s="21"/>
      <c r="I4" s="21"/>
      <c r="J4" s="21"/>
      <c r="K4" s="21"/>
      <c r="L4" s="21"/>
      <c r="M4" s="21"/>
      <c r="N4" s="21"/>
      <c r="O4" s="21"/>
    </row>
    <row r="5" spans="1:27">
      <c r="A5" s="21"/>
      <c r="B5" s="21"/>
      <c r="C5" s="21"/>
      <c r="D5" s="21"/>
      <c r="E5" s="21"/>
      <c r="F5" s="21"/>
      <c r="G5" s="21"/>
      <c r="H5" s="21"/>
      <c r="I5" s="21"/>
      <c r="J5" s="21"/>
      <c r="K5" s="21"/>
      <c r="L5" s="21"/>
      <c r="M5" s="21"/>
      <c r="N5" s="21"/>
      <c r="O5" s="21"/>
    </row>
    <row r="6" spans="1:27">
      <c r="A6" s="21"/>
      <c r="B6" s="21"/>
      <c r="C6" s="21"/>
      <c r="D6" s="21"/>
      <c r="E6" s="21"/>
      <c r="F6" s="21"/>
      <c r="G6" s="21"/>
      <c r="H6" s="21"/>
      <c r="I6" s="21"/>
      <c r="J6" s="21"/>
      <c r="K6" s="21"/>
      <c r="L6" s="21"/>
      <c r="M6" s="21"/>
      <c r="N6" s="21"/>
      <c r="O6" s="21"/>
    </row>
    <row r="7" spans="1:27">
      <c r="A7" s="21"/>
      <c r="B7" s="21"/>
      <c r="C7" s="21"/>
      <c r="D7" s="21"/>
      <c r="E7" s="21"/>
      <c r="F7" s="21"/>
      <c r="G7" s="21"/>
      <c r="H7" s="21"/>
      <c r="I7" s="21"/>
      <c r="J7" s="21"/>
      <c r="K7" s="21"/>
      <c r="L7" s="21"/>
      <c r="M7" s="21"/>
      <c r="N7" s="21"/>
      <c r="O7" s="21"/>
    </row>
    <row r="8" spans="1:27">
      <c r="A8" s="21"/>
      <c r="B8" s="21"/>
      <c r="C8" s="21"/>
      <c r="D8" s="21"/>
      <c r="E8" s="21"/>
      <c r="F8" s="21"/>
      <c r="G8" s="21"/>
      <c r="H8" s="21"/>
      <c r="I8" s="21"/>
      <c r="J8" s="21"/>
      <c r="K8" s="21"/>
      <c r="L8" s="21"/>
      <c r="M8" s="21"/>
      <c r="N8" s="21"/>
      <c r="O8" s="21"/>
    </row>
    <row r="9" spans="1:27">
      <c r="A9" s="21"/>
      <c r="B9" s="21"/>
      <c r="C9" s="21"/>
      <c r="D9" s="21"/>
      <c r="E9" s="21"/>
      <c r="F9" s="21"/>
      <c r="G9" s="21"/>
      <c r="H9" s="21"/>
      <c r="I9" s="21"/>
      <c r="J9" s="21"/>
      <c r="K9" s="21"/>
      <c r="L9" s="21"/>
      <c r="M9" s="21"/>
      <c r="N9" s="21"/>
      <c r="O9" s="21"/>
    </row>
    <row r="10" spans="1:27">
      <c r="A10" s="21"/>
      <c r="B10" s="21"/>
      <c r="C10" s="21"/>
      <c r="D10" s="21"/>
      <c r="E10" s="21"/>
      <c r="F10" s="21"/>
      <c r="G10" s="21"/>
      <c r="H10" s="21"/>
      <c r="I10" s="21"/>
      <c r="J10" s="21"/>
      <c r="K10" s="21"/>
      <c r="L10" s="21"/>
      <c r="M10" s="21"/>
      <c r="N10" s="21"/>
      <c r="O10" s="21"/>
      <c r="T10" s="979" t="s">
        <v>266</v>
      </c>
      <c r="U10" s="979"/>
      <c r="V10" s="979"/>
      <c r="W10" s="979"/>
      <c r="X10" s="979"/>
      <c r="Y10" s="979"/>
      <c r="Z10" s="979"/>
      <c r="AA10" s="979"/>
    </row>
    <row r="11" spans="1:27">
      <c r="A11" s="21"/>
      <c r="B11" s="21"/>
      <c r="C11" s="21"/>
      <c r="D11" s="21"/>
      <c r="E11" s="21"/>
      <c r="F11" s="21"/>
      <c r="G11" s="21"/>
      <c r="H11" s="21"/>
      <c r="I11" s="21"/>
      <c r="J11" s="21"/>
      <c r="K11" s="21"/>
      <c r="L11" s="21"/>
      <c r="M11" s="21"/>
      <c r="N11" s="21"/>
      <c r="O11" s="21"/>
      <c r="T11" s="979"/>
      <c r="U11" s="979"/>
      <c r="V11" s="979"/>
      <c r="W11" s="979"/>
      <c r="X11" s="979"/>
      <c r="Y11" s="979"/>
      <c r="Z11" s="979"/>
      <c r="AA11" s="979"/>
    </row>
    <row r="12" spans="1:27">
      <c r="A12" s="21"/>
      <c r="B12" s="21"/>
      <c r="C12" s="21"/>
      <c r="D12" s="21"/>
      <c r="E12" s="21"/>
      <c r="F12" s="21"/>
      <c r="G12" s="21"/>
      <c r="H12" s="21"/>
      <c r="I12" s="21"/>
      <c r="J12" s="21"/>
      <c r="K12" s="21"/>
      <c r="L12" s="21"/>
      <c r="M12" s="21"/>
      <c r="N12" s="21"/>
      <c r="O12" s="21"/>
      <c r="T12" s="979"/>
      <c r="U12" s="979"/>
      <c r="V12" s="979"/>
      <c r="W12" s="979"/>
      <c r="X12" s="979"/>
      <c r="Y12" s="979"/>
      <c r="Z12" s="979"/>
      <c r="AA12" s="979"/>
    </row>
    <row r="13" spans="1:27">
      <c r="A13" s="21"/>
      <c r="B13" s="21"/>
      <c r="C13" s="21"/>
      <c r="D13" s="21"/>
      <c r="E13" s="21"/>
      <c r="F13" s="21"/>
      <c r="G13" s="21"/>
      <c r="H13" s="21"/>
      <c r="I13" s="21"/>
      <c r="J13" s="21"/>
      <c r="K13" s="21"/>
      <c r="L13" s="21"/>
      <c r="M13" s="21"/>
      <c r="N13" s="21"/>
      <c r="O13" s="21"/>
    </row>
    <row r="14" spans="1:27">
      <c r="A14" s="21"/>
      <c r="B14" s="21"/>
      <c r="C14" s="21"/>
      <c r="D14" s="21"/>
      <c r="E14" s="21"/>
      <c r="F14" s="21"/>
      <c r="G14" s="21"/>
      <c r="H14" s="21"/>
      <c r="I14" s="21"/>
      <c r="J14" s="21"/>
      <c r="K14" s="21"/>
      <c r="L14" s="21"/>
      <c r="M14" s="21"/>
      <c r="N14" s="21"/>
      <c r="O14" s="21"/>
    </row>
    <row r="15" spans="1:27">
      <c r="A15" s="21"/>
      <c r="B15" s="21"/>
      <c r="C15" s="21"/>
      <c r="D15" s="21"/>
      <c r="E15" s="21"/>
      <c r="F15" s="21"/>
      <c r="G15" s="21"/>
      <c r="H15" s="21"/>
      <c r="I15" s="21"/>
      <c r="J15" s="21"/>
      <c r="K15" s="21"/>
      <c r="L15" s="21"/>
      <c r="M15" s="21"/>
      <c r="N15" s="21"/>
      <c r="O15" s="21"/>
    </row>
    <row r="16" spans="1:27">
      <c r="A16" s="21"/>
      <c r="B16" s="21"/>
      <c r="C16" s="21"/>
      <c r="D16" s="21"/>
      <c r="E16" s="21"/>
      <c r="F16" s="21"/>
      <c r="G16" s="21"/>
      <c r="H16" s="21"/>
      <c r="I16" s="21"/>
      <c r="J16" s="21"/>
      <c r="K16" s="21"/>
      <c r="L16" s="21"/>
      <c r="M16" s="21"/>
      <c r="N16" s="21"/>
      <c r="O16" s="21"/>
    </row>
    <row r="17" spans="1:21">
      <c r="A17" s="21"/>
      <c r="B17" s="21"/>
      <c r="C17" s="21"/>
      <c r="D17" s="21"/>
      <c r="E17" s="21"/>
      <c r="F17" s="21"/>
      <c r="G17" s="21"/>
      <c r="H17" s="21"/>
      <c r="I17" s="21"/>
      <c r="J17" s="21"/>
      <c r="K17" s="21"/>
      <c r="L17" s="21"/>
      <c r="M17" s="21"/>
      <c r="N17" s="21"/>
      <c r="O17" s="21"/>
    </row>
    <row r="18" spans="1:21">
      <c r="A18" s="21"/>
      <c r="B18" s="21"/>
      <c r="C18" s="21"/>
      <c r="D18" s="21"/>
      <c r="E18" s="21"/>
      <c r="F18" s="21"/>
      <c r="G18" s="21"/>
      <c r="H18" s="21"/>
      <c r="I18" s="21"/>
      <c r="J18" s="21"/>
      <c r="K18" s="21"/>
      <c r="L18" s="21"/>
      <c r="M18" s="21"/>
      <c r="N18" s="21"/>
      <c r="O18" s="21"/>
    </row>
    <row r="19" spans="1:21">
      <c r="A19" s="21"/>
      <c r="B19" s="21"/>
      <c r="C19" s="21"/>
      <c r="D19" s="21"/>
      <c r="E19" s="21"/>
      <c r="F19" s="21"/>
      <c r="G19" s="21"/>
      <c r="H19" s="21"/>
      <c r="I19" s="21"/>
      <c r="J19" s="21"/>
      <c r="K19" s="21"/>
      <c r="L19" s="21"/>
      <c r="M19" s="21"/>
      <c r="N19" s="21"/>
      <c r="O19" s="21"/>
    </row>
    <row r="20" spans="1:21">
      <c r="A20" s="21"/>
      <c r="B20" s="21"/>
      <c r="C20" s="21"/>
      <c r="D20" s="21"/>
      <c r="E20" s="21"/>
      <c r="F20" s="21"/>
      <c r="G20" s="21"/>
      <c r="H20" s="21"/>
      <c r="I20" s="21"/>
      <c r="J20" s="21"/>
      <c r="K20" s="21"/>
      <c r="L20" s="21"/>
      <c r="M20" s="21"/>
      <c r="N20" s="21"/>
      <c r="O20" s="21"/>
    </row>
    <row r="21" spans="1:21">
      <c r="A21" s="21"/>
      <c r="B21" s="21"/>
      <c r="C21" s="21"/>
      <c r="D21" s="21"/>
      <c r="E21" s="21"/>
      <c r="F21" s="21"/>
      <c r="G21" s="21"/>
      <c r="H21" s="21"/>
      <c r="I21" s="21"/>
      <c r="J21" s="21"/>
      <c r="K21" s="21"/>
      <c r="L21" s="21"/>
      <c r="M21" s="21"/>
      <c r="N21" s="21"/>
      <c r="O21" s="21"/>
    </row>
    <row r="22" spans="1:21">
      <c r="A22" s="21"/>
      <c r="B22" s="21"/>
      <c r="C22" s="21"/>
      <c r="D22" s="21"/>
      <c r="E22" s="21"/>
      <c r="F22" s="21"/>
      <c r="G22" s="21"/>
      <c r="H22" s="21"/>
      <c r="I22" s="21"/>
      <c r="J22" s="21"/>
      <c r="K22" s="21"/>
      <c r="L22" s="21"/>
      <c r="M22" s="21"/>
      <c r="N22" s="21"/>
      <c r="O22" s="21"/>
    </row>
    <row r="23" spans="1:21">
      <c r="A23" s="21"/>
      <c r="B23" s="21"/>
      <c r="C23" s="21"/>
      <c r="D23" s="21"/>
      <c r="E23" s="21"/>
      <c r="F23" s="21"/>
      <c r="G23" s="21"/>
      <c r="H23" s="21"/>
      <c r="I23" s="21"/>
      <c r="J23" s="21"/>
      <c r="K23" s="21"/>
      <c r="L23" s="21"/>
      <c r="M23" s="21"/>
      <c r="N23" s="21"/>
      <c r="O23" s="21"/>
    </row>
    <row r="24" spans="1:21">
      <c r="A24" s="21"/>
      <c r="B24" s="21"/>
      <c r="C24" s="21"/>
      <c r="D24" s="21"/>
      <c r="E24" s="21"/>
      <c r="F24" s="21"/>
      <c r="G24" s="21"/>
      <c r="H24" s="21"/>
      <c r="I24" s="21"/>
      <c r="J24" s="21"/>
      <c r="K24" s="21"/>
      <c r="L24" s="21"/>
      <c r="M24" s="21"/>
      <c r="N24" s="21"/>
      <c r="O24" s="21"/>
      <c r="T24" s="1" t="s">
        <v>193</v>
      </c>
      <c r="U24" t="str">
        <f>CONCATENATE(UPPER(TEXT(IF(LEN(TRIM(INPUT!B31))&gt;0, INPUT!B31, INPUT!B43), "@")), ", ", UPPER(TEXT(INPUT!B32,"@")), ", CA")</f>
        <v>1215 GRAPHITE DR, CORONA, CA</v>
      </c>
    </row>
    <row r="25" spans="1:21">
      <c r="A25" s="21"/>
      <c r="B25" s="21"/>
      <c r="C25" s="21"/>
      <c r="D25" s="21"/>
      <c r="E25" s="21"/>
      <c r="F25" s="21"/>
      <c r="G25" s="21"/>
      <c r="H25" s="21"/>
      <c r="I25" s="21"/>
      <c r="J25" s="21"/>
      <c r="K25" s="21"/>
      <c r="L25" s="21"/>
      <c r="M25" s="21"/>
      <c r="N25" s="21"/>
      <c r="O25" s="21"/>
      <c r="T25" s="1">
        <v>1</v>
      </c>
      <c r="U25" t="str">
        <f>CONCATENATE("",UPPER(TEXT('Sales Grid'!D10,"")),", ",UPPER(TEXT('Sales Grid'!D11,"")),", CA")</f>
        <v>255 GLIDER CIR, CORONA, CA</v>
      </c>
    </row>
    <row r="26" spans="1:21">
      <c r="A26" s="21"/>
      <c r="B26" s="21"/>
      <c r="C26" s="21"/>
      <c r="D26" s="21"/>
      <c r="E26" s="21"/>
      <c r="F26" s="21"/>
      <c r="G26" s="21"/>
      <c r="H26" s="21"/>
      <c r="I26" s="21"/>
      <c r="J26" s="21"/>
      <c r="K26" s="21"/>
      <c r="L26" s="21"/>
      <c r="M26" s="21"/>
      <c r="N26" s="21"/>
      <c r="O26" s="21"/>
      <c r="T26" s="1">
        <v>2</v>
      </c>
      <c r="U26" t="str">
        <f>CONCATENATE("",UPPER(TEXT('Sales Grid'!E10,"")),", ",UPPER(TEXT('Sales Grid'!E11,"")),", CA")</f>
        <v>127 RADIO RD, CORONA, CA</v>
      </c>
    </row>
    <row r="27" spans="1:21">
      <c r="A27" s="21"/>
      <c r="B27" s="21"/>
      <c r="C27" s="21"/>
      <c r="D27" s="21"/>
      <c r="E27" s="21"/>
      <c r="F27" s="21"/>
      <c r="G27" s="21"/>
      <c r="H27" s="21"/>
      <c r="I27" s="21"/>
      <c r="J27" s="21"/>
      <c r="K27" s="21"/>
      <c r="L27" s="21"/>
      <c r="M27" s="21"/>
      <c r="N27" s="21"/>
      <c r="O27" s="21"/>
      <c r="T27" s="1">
        <v>3</v>
      </c>
      <c r="U27" t="str">
        <f>CONCATENATE("",UPPER(TEXT('Sales Grid'!F10,"")),", ",UPPER(TEXT('Sales Grid'!F11,"")),", CA")</f>
        <v>1220 GRAPHITE DR, CORONA, CA</v>
      </c>
    </row>
    <row r="28" spans="1:21" hidden="1">
      <c r="A28" s="21"/>
      <c r="B28" s="21"/>
      <c r="C28" s="21"/>
      <c r="D28" s="21"/>
      <c r="E28" s="21"/>
      <c r="F28" s="21"/>
      <c r="G28" s="21"/>
      <c r="H28" s="21"/>
      <c r="I28" s="21"/>
      <c r="J28" s="21"/>
      <c r="K28" s="21"/>
      <c r="L28" s="21"/>
      <c r="M28" s="21"/>
      <c r="N28" s="21"/>
      <c r="O28" s="21"/>
      <c r="T28" s="1">
        <v>4</v>
      </c>
      <c r="U28" t="str">
        <f>CONCATENATE("",UPPER(TEXT('Sales Grid'!G10,"")),", ",UPPER(TEXT('Sales Grid'!G11,"")),", CA")</f>
        <v>3403 DURAHART ST, RIVERSIDE, CA</v>
      </c>
    </row>
    <row r="29" spans="1:21">
      <c r="A29" s="21"/>
      <c r="B29" s="21"/>
      <c r="C29" s="21"/>
      <c r="D29" s="21"/>
      <c r="E29" s="21"/>
      <c r="F29" s="21"/>
      <c r="G29" s="21"/>
      <c r="H29" s="21"/>
      <c r="I29" s="21"/>
      <c r="J29" s="21"/>
      <c r="K29" s="21"/>
      <c r="L29" s="21"/>
      <c r="M29" s="21"/>
      <c r="N29" s="21"/>
      <c r="O29" s="21"/>
      <c r="T29" s="1"/>
    </row>
    <row r="30" spans="1:21">
      <c r="A30" s="21"/>
      <c r="B30" s="21"/>
      <c r="C30" s="21"/>
      <c r="D30" s="21"/>
      <c r="E30" s="21"/>
      <c r="F30" s="21"/>
      <c r="G30" s="21"/>
      <c r="H30" s="21"/>
      <c r="I30" s="21"/>
      <c r="J30" s="21"/>
      <c r="K30" s="21"/>
      <c r="L30" s="21"/>
      <c r="M30" s="21"/>
      <c r="N30" s="21"/>
      <c r="O30" s="21"/>
      <c r="T30" s="1"/>
    </row>
    <row r="31" spans="1:21">
      <c r="A31" s="21"/>
      <c r="B31" s="21"/>
      <c r="C31" s="21"/>
      <c r="D31" s="21"/>
      <c r="E31" s="21"/>
      <c r="F31" s="21"/>
      <c r="G31" s="21"/>
      <c r="H31" s="21"/>
      <c r="I31" s="21"/>
      <c r="J31" s="21"/>
      <c r="K31" s="21"/>
      <c r="L31" s="21"/>
      <c r="M31" s="21"/>
      <c r="N31" s="21"/>
      <c r="O31" s="21"/>
      <c r="T31" s="1"/>
    </row>
    <row r="32" spans="1:21">
      <c r="A32" s="21"/>
      <c r="B32" s="21"/>
      <c r="C32" s="21"/>
      <c r="D32" s="21"/>
      <c r="E32" s="21"/>
      <c r="F32" s="21"/>
      <c r="G32" s="21"/>
      <c r="H32" s="21"/>
      <c r="I32" s="21"/>
      <c r="J32" s="21"/>
      <c r="K32" s="21"/>
      <c r="L32" s="21"/>
      <c r="M32" s="21"/>
      <c r="N32" s="21"/>
      <c r="O32" s="21"/>
      <c r="T32" s="1"/>
    </row>
    <row r="33" spans="1:20">
      <c r="A33" s="21"/>
      <c r="B33" s="21"/>
      <c r="C33" s="21"/>
      <c r="D33" s="21"/>
      <c r="E33" s="21"/>
      <c r="F33" s="21"/>
      <c r="G33" s="21"/>
      <c r="H33" s="21"/>
      <c r="I33" s="21"/>
      <c r="J33" s="21"/>
      <c r="K33" s="21"/>
      <c r="L33" s="21"/>
      <c r="M33" s="21"/>
      <c r="N33" s="21"/>
      <c r="O33" s="21"/>
      <c r="T33" s="1"/>
    </row>
    <row r="34" spans="1:20">
      <c r="A34" s="21"/>
      <c r="B34" s="21"/>
      <c r="C34" s="21"/>
      <c r="D34" s="21"/>
      <c r="E34" s="21"/>
      <c r="F34" s="21"/>
      <c r="G34" s="21"/>
      <c r="H34" s="21"/>
      <c r="I34" s="21"/>
      <c r="J34" s="21"/>
      <c r="K34" s="21"/>
      <c r="L34" s="21"/>
      <c r="M34" s="21"/>
      <c r="N34" s="21"/>
      <c r="O34" s="21"/>
      <c r="T34" s="1"/>
    </row>
    <row r="35" spans="1:20">
      <c r="A35" s="983" t="str">
        <f>CONCATENATE(
"SUBJECT LOCATED AT: ",
UPPER(IF(LEN(INPUT!B31)&gt;0, INPUT!B31, INPUT!B43)),
", ",
UPPER(INPUT!B32),
", CA"
)</f>
        <v>SUBJECT LOCATED AT: 1215 GRAPHITE DR, CORONA, CA</v>
      </c>
      <c r="B35" s="983"/>
      <c r="C35" s="983"/>
      <c r="D35" s="983"/>
      <c r="E35" s="983"/>
      <c r="F35" s="983"/>
      <c r="G35" s="983"/>
      <c r="H35" s="983"/>
      <c r="I35" s="983"/>
      <c r="J35" s="983"/>
      <c r="K35" s="983"/>
      <c r="L35" s="983"/>
      <c r="M35" s="983"/>
      <c r="N35" s="983"/>
      <c r="O35" s="983"/>
    </row>
    <row r="36" spans="1:20">
      <c r="A36" s="983" t="str">
        <f>CONCATENATE("COMP #1 LOCATED AT: ",UPPER(TEXT('Sales Grid'!D10,"")),", ",UPPER(TEXT('Sales Grid'!D11,"")),", CA")</f>
        <v>COMP #1 LOCATED AT: 255 GLIDER CIR, CORONA, CA</v>
      </c>
      <c r="B36" s="983"/>
      <c r="C36" s="983"/>
      <c r="D36" s="983"/>
      <c r="E36" s="983"/>
      <c r="F36" s="983"/>
      <c r="G36" s="983"/>
      <c r="H36" s="983"/>
      <c r="I36" s="983"/>
      <c r="J36" s="983"/>
      <c r="K36" s="983"/>
      <c r="L36" s="983"/>
      <c r="M36" s="983"/>
      <c r="N36" s="983"/>
      <c r="O36" s="983"/>
    </row>
    <row r="37" spans="1:20">
      <c r="A37" s="983" t="str">
        <f>CONCATENATE("COMP #2 LOCATED AT: ",UPPER(TEXT('Sales Grid'!E10,"")),", ",UPPER(TEXT('Sales Grid'!E11,"")),", CA")</f>
        <v>COMP #2 LOCATED AT: 127 RADIO RD, CORONA, CA</v>
      </c>
      <c r="B37" s="983"/>
      <c r="C37" s="983"/>
      <c r="D37" s="983"/>
      <c r="E37" s="983"/>
      <c r="F37" s="983"/>
      <c r="G37" s="983"/>
      <c r="H37" s="983"/>
      <c r="I37" s="983"/>
      <c r="J37" s="983"/>
      <c r="K37" s="983"/>
      <c r="L37" s="983"/>
      <c r="M37" s="983"/>
      <c r="N37" s="983"/>
      <c r="O37" s="983"/>
    </row>
    <row r="38" spans="1:20">
      <c r="A38" s="983" t="str">
        <f>CONCATENATE("COMP #3 LOCATED AT: ",UPPER(TEXT('Sales Grid'!F10,"")),", ",UPPER(TEXT('Sales Grid'!F11,"")),", CA")</f>
        <v>COMP #3 LOCATED AT: 1220 GRAPHITE DR, CORONA, CA</v>
      </c>
      <c r="B38" s="983"/>
      <c r="C38" s="983"/>
      <c r="D38" s="983"/>
      <c r="E38" s="983"/>
      <c r="F38" s="983"/>
      <c r="G38" s="983"/>
      <c r="H38" s="983"/>
      <c r="I38" s="983"/>
      <c r="J38" s="983"/>
      <c r="K38" s="983"/>
      <c r="L38" s="983"/>
      <c r="M38" s="983"/>
      <c r="N38" s="983"/>
      <c r="O38" s="983"/>
    </row>
    <row r="39" spans="1:20" hidden="1">
      <c r="A39" s="983" t="str">
        <f>CONCATENATE("COMP #4 LOCATED AT: ",UPPER(TEXT('Sales Grid'!G10,"")),", ",UPPER(TEXT('Sales Grid'!G11,"")),", CA")</f>
        <v>COMP #4 LOCATED AT: 3403 DURAHART ST, RIVERSIDE, CA</v>
      </c>
      <c r="B39" s="983"/>
      <c r="C39" s="983"/>
      <c r="D39" s="983"/>
      <c r="E39" s="983"/>
      <c r="F39" s="983"/>
      <c r="G39" s="983"/>
      <c r="H39" s="983"/>
      <c r="I39" s="983"/>
      <c r="J39" s="983"/>
      <c r="K39" s="983"/>
      <c r="L39" s="983"/>
      <c r="M39" s="983"/>
      <c r="N39" s="983"/>
      <c r="O39" s="983"/>
    </row>
    <row r="40" spans="1:20" hidden="1"/>
    <row r="43" spans="1:20">
      <c r="A43" s="980"/>
      <c r="B43" s="981"/>
      <c r="C43" s="981"/>
      <c r="D43" s="981"/>
    </row>
  </sheetData>
  <sheetProtection formatColumns="0" formatRows="0" insertColumns="0" insertRows="0"/>
  <mergeCells count="8">
    <mergeCell ref="A39:O39"/>
    <mergeCell ref="A43:D43"/>
    <mergeCell ref="A1:O1"/>
    <mergeCell ref="T10:AA12"/>
    <mergeCell ref="A35:O35"/>
    <mergeCell ref="A36:O36"/>
    <mergeCell ref="A37:O37"/>
    <mergeCell ref="A38:O38"/>
  </mergeCells>
  <printOptions horizontalCentered="1"/>
  <pageMargins left="0.25" right="0.25" top="0.75" bottom="0.75" header="0.3" footer="0.3"/>
  <pageSetup scale="57" orientation="landscape" r:id="rId1"/>
  <headerFooter scaleWithDoc="0">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33473" r:id="rId4" name="Button 1">
              <controlPr defaultSize="0" print="0" autoFill="0" autoPict="0" macro="[0]!OpenImpMapAddresses_MapFromCoords">
                <anchor moveWithCells="1" sizeWithCells="1">
                  <from>
                    <xdr:col>15</xdr:col>
                    <xdr:colOff>388620</xdr:colOff>
                    <xdr:row>8</xdr:row>
                    <xdr:rowOff>182880</xdr:rowOff>
                  </from>
                  <to>
                    <xdr:col>18</xdr:col>
                    <xdr:colOff>518160</xdr:colOff>
                    <xdr:row>12</xdr:row>
                    <xdr:rowOff>83820</xdr:rowOff>
                  </to>
                </anchor>
              </controlPr>
            </control>
          </mc:Choice>
        </mc:AlternateContent>
        <mc:AlternateContent xmlns:mc="http://schemas.openxmlformats.org/markup-compatibility/2006">
          <mc:Choice Requires="x14">
            <control shapeId="233474" r:id="rId5" name="Button 2">
              <controlPr defaultSize="0" print="0" autoFill="0" autoPict="0" macro="[0]!PasteImageWithBorder_MAP">
                <anchor moveWithCells="1" sizeWithCells="1">
                  <from>
                    <xdr:col>15</xdr:col>
                    <xdr:colOff>403860</xdr:colOff>
                    <xdr:row>13</xdr:row>
                    <xdr:rowOff>99060</xdr:rowOff>
                  </from>
                  <to>
                    <xdr:col>18</xdr:col>
                    <xdr:colOff>518160</xdr:colOff>
                    <xdr:row>16</xdr:row>
                    <xdr:rowOff>182880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2172FF-E6D5-4D81-AB91-4DE3E1E0CF9B}">
  <sheetPr codeName="Sheet31">
    <tabColor rgb="FF7030A0"/>
  </sheetPr>
  <dimension ref="A1:P242"/>
  <sheetViews>
    <sheetView view="pageLayout" zoomScale="115" zoomScaleNormal="115" zoomScaleSheetLayoutView="100" zoomScalePageLayoutView="115" workbookViewId="0">
      <selection activeCell="B128" sqref="B128"/>
    </sheetView>
  </sheetViews>
  <sheetFormatPr defaultColWidth="12.5546875" defaultRowHeight="14.4" customHeight="1"/>
  <cols>
    <col min="1" max="3" width="12.6640625" style="241" customWidth="1"/>
    <col min="4" max="4" width="12.5546875" style="241" customWidth="1"/>
    <col min="5" max="8" width="12.6640625" style="241" customWidth="1"/>
    <col min="9" max="16384" width="12.5546875" style="241"/>
  </cols>
  <sheetData>
    <row r="1" spans="1:16" ht="14.4" customHeight="1">
      <c r="A1" s="870" t="s">
        <v>88</v>
      </c>
      <c r="B1" s="870"/>
      <c r="C1" s="870"/>
      <c r="D1" s="870"/>
      <c r="E1" s="870"/>
      <c r="F1" s="870"/>
      <c r="G1" s="870"/>
      <c r="H1" s="870"/>
      <c r="I1" s="245"/>
      <c r="J1" s="245"/>
    </row>
    <row r="2" spans="1:16" ht="14.4" customHeight="1">
      <c r="A2" s="21"/>
      <c r="B2" s="244"/>
      <c r="C2" s="244"/>
      <c r="D2" s="244"/>
      <c r="E2" s="244"/>
      <c r="F2" s="244"/>
      <c r="G2" s="244"/>
      <c r="H2" s="244"/>
      <c r="I2" s="244"/>
    </row>
    <row r="3" spans="1:16" ht="14.4" customHeight="1">
      <c r="A3" s="244"/>
      <c r="B3" s="244"/>
      <c r="C3" s="244"/>
      <c r="D3" s="244"/>
      <c r="E3" s="244"/>
      <c r="F3" s="244"/>
      <c r="G3" s="244"/>
      <c r="H3" s="244"/>
      <c r="I3" s="244"/>
    </row>
    <row r="4" spans="1:16" ht="14.4" customHeight="1">
      <c r="A4" s="244"/>
      <c r="B4" s="244"/>
      <c r="C4" s="244"/>
      <c r="D4" s="244"/>
      <c r="E4" s="244"/>
      <c r="F4" s="244"/>
      <c r="G4" s="244"/>
      <c r="H4" s="244"/>
      <c r="I4" s="244"/>
      <c r="J4" s="243"/>
    </row>
    <row r="5" spans="1:16" ht="14.4" customHeight="1">
      <c r="A5" s="244"/>
      <c r="B5" s="244"/>
      <c r="C5" s="244"/>
      <c r="D5" s="244"/>
      <c r="E5" s="244"/>
      <c r="F5" s="244"/>
      <c r="G5" s="244"/>
      <c r="H5" s="244"/>
      <c r="I5" s="244"/>
    </row>
    <row r="6" spans="1:16" ht="14.4" customHeight="1">
      <c r="A6" s="244"/>
      <c r="B6" s="21"/>
      <c r="C6" s="244"/>
      <c r="D6" s="244"/>
      <c r="E6" s="21"/>
      <c r="F6" s="244"/>
      <c r="G6" s="244"/>
      <c r="H6" s="244"/>
    </row>
    <row r="7" spans="1:16" ht="14.4" customHeight="1">
      <c r="A7" s="244"/>
      <c r="B7" s="244"/>
      <c r="C7" s="244"/>
      <c r="D7" s="244"/>
      <c r="E7" s="244"/>
      <c r="F7" s="244"/>
      <c r="G7" s="244"/>
      <c r="H7" s="244"/>
      <c r="J7" s="243"/>
    </row>
    <row r="8" spans="1:16" ht="14.4" customHeight="1">
      <c r="A8" s="244"/>
      <c r="B8" s="244"/>
      <c r="C8" s="244"/>
      <c r="D8" s="244"/>
      <c r="E8" s="244"/>
      <c r="F8" s="244"/>
      <c r="G8" s="244"/>
      <c r="H8" s="244"/>
      <c r="I8" s="12"/>
      <c r="J8" s="12"/>
      <c r="K8" s="12"/>
      <c r="L8" s="12"/>
      <c r="M8" s="12"/>
      <c r="P8"/>
    </row>
    <row r="9" spans="1:16" ht="14.4" customHeight="1">
      <c r="A9" s="244"/>
      <c r="B9" s="244"/>
      <c r="C9" s="21"/>
      <c r="D9" s="244"/>
      <c r="E9" s="244"/>
      <c r="F9" s="244"/>
      <c r="G9" s="244"/>
      <c r="H9" s="244"/>
      <c r="I9" s="12"/>
      <c r="J9" s="12"/>
      <c r="K9" s="12"/>
      <c r="L9" s="12"/>
      <c r="M9" s="12"/>
    </row>
    <row r="10" spans="1:16" ht="14.4" customHeight="1">
      <c r="A10" s="244"/>
      <c r="B10" s="244"/>
      <c r="C10" s="244"/>
      <c r="D10" s="244"/>
      <c r="E10" s="244"/>
      <c r="F10" s="244"/>
      <c r="G10" s="244"/>
      <c r="H10" s="244"/>
      <c r="I10" s="12"/>
      <c r="J10" s="12"/>
      <c r="K10" s="309" t="s">
        <v>295</v>
      </c>
      <c r="L10" s="12"/>
      <c r="M10" s="12"/>
    </row>
    <row r="11" spans="1:16" ht="14.4" customHeight="1">
      <c r="A11" s="244"/>
      <c r="B11" s="244"/>
      <c r="C11" s="244"/>
      <c r="D11" s="244"/>
      <c r="E11" s="244"/>
      <c r="F11" s="244"/>
      <c r="G11" s="244"/>
      <c r="H11" s="244"/>
      <c r="I11" s="12"/>
      <c r="J11" s="12"/>
      <c r="K11" s="12"/>
      <c r="L11" s="12"/>
      <c r="M11" s="12"/>
    </row>
    <row r="12" spans="1:16" ht="14.4" customHeight="1">
      <c r="A12" s="244"/>
      <c r="B12" s="244"/>
      <c r="C12" s="244"/>
      <c r="D12" s="244"/>
      <c r="E12" s="244"/>
      <c r="F12" s="244"/>
      <c r="G12" s="244"/>
      <c r="H12" s="244"/>
    </row>
    <row r="13" spans="1:16" ht="14.4" customHeight="1">
      <c r="A13" s="244"/>
      <c r="B13" s="244"/>
      <c r="C13" s="244"/>
      <c r="D13" s="244"/>
      <c r="E13" s="244"/>
      <c r="F13" s="244"/>
      <c r="G13" s="244"/>
      <c r="H13" s="244"/>
    </row>
    <row r="14" spans="1:16" ht="14.4" customHeight="1">
      <c r="A14" s="244"/>
      <c r="B14" s="244"/>
      <c r="C14" s="244"/>
      <c r="D14" s="244"/>
      <c r="E14" s="244"/>
      <c r="F14" s="244"/>
      <c r="G14" s="244"/>
      <c r="H14" s="244"/>
    </row>
    <row r="15" spans="1:16" ht="14.4" customHeight="1">
      <c r="A15" s="244"/>
      <c r="B15" s="244"/>
      <c r="C15" s="244"/>
      <c r="D15" s="244"/>
      <c r="E15" s="244"/>
      <c r="F15" s="244"/>
      <c r="G15" s="244"/>
      <c r="H15" s="244"/>
      <c r="I15" s="244"/>
    </row>
    <row r="16" spans="1:16" ht="14.4" customHeight="1">
      <c r="A16" s="244"/>
      <c r="B16" s="244"/>
      <c r="C16" s="244"/>
      <c r="D16" s="244"/>
      <c r="E16" s="244"/>
      <c r="F16" s="244"/>
      <c r="G16" s="244"/>
      <c r="H16" s="244"/>
      <c r="I16" s="244"/>
    </row>
    <row r="17" spans="1:13" ht="14.4" customHeight="1">
      <c r="A17" s="244"/>
      <c r="B17" s="244"/>
      <c r="C17" s="244"/>
      <c r="D17" s="244"/>
      <c r="E17" s="244"/>
      <c r="F17" s="244"/>
      <c r="G17" s="244"/>
      <c r="H17" s="244"/>
      <c r="I17" s="244"/>
    </row>
    <row r="18" spans="1:13" ht="14.4" customHeight="1">
      <c r="A18" s="244"/>
      <c r="B18" s="244"/>
      <c r="C18" s="244"/>
      <c r="D18" s="244"/>
      <c r="E18" s="244"/>
      <c r="F18" s="244"/>
      <c r="G18" s="244"/>
      <c r="H18" s="244"/>
      <c r="I18" s="244"/>
    </row>
    <row r="19" spans="1:13" ht="14.4" customHeight="1">
      <c r="A19" s="244"/>
      <c r="B19" s="244"/>
      <c r="C19" s="244"/>
      <c r="D19" s="244"/>
      <c r="E19" s="244"/>
      <c r="F19" s="244"/>
      <c r="G19" s="244"/>
      <c r="H19" s="244"/>
      <c r="I19" s="244"/>
    </row>
    <row r="20" spans="1:13" ht="14.4" customHeight="1">
      <c r="A20" s="244"/>
      <c r="B20" s="244"/>
      <c r="C20" s="244"/>
      <c r="D20" s="244"/>
      <c r="E20" s="244"/>
      <c r="F20" s="244"/>
      <c r="G20" s="244"/>
      <c r="H20" s="244"/>
      <c r="I20" s="244"/>
    </row>
    <row r="21" spans="1:13" ht="14.4" customHeight="1">
      <c r="A21" s="244"/>
      <c r="B21" s="244"/>
      <c r="C21" s="244"/>
      <c r="D21" s="244"/>
      <c r="E21" s="244"/>
      <c r="F21" s="244"/>
      <c r="G21" s="244"/>
      <c r="H21" s="244"/>
    </row>
    <row r="22" spans="1:13" ht="14.4" customHeight="1">
      <c r="A22" s="244"/>
      <c r="B22" s="244"/>
      <c r="C22" s="244"/>
      <c r="D22" s="244"/>
      <c r="E22" s="244"/>
      <c r="F22" s="244"/>
      <c r="G22" s="244"/>
      <c r="H22" s="244"/>
    </row>
    <row r="23" spans="1:13" ht="14.4" customHeight="1">
      <c r="A23" s="244"/>
      <c r="B23" s="244"/>
      <c r="C23" s="244"/>
      <c r="D23" s="244"/>
      <c r="E23" s="244"/>
      <c r="F23" s="244"/>
      <c r="G23" s="244"/>
      <c r="H23" s="244"/>
    </row>
    <row r="24" spans="1:13" ht="14.4" customHeight="1">
      <c r="A24" s="244"/>
      <c r="B24" s="244"/>
      <c r="C24" s="244"/>
      <c r="D24" s="244"/>
      <c r="E24" s="244"/>
      <c r="F24" s="244"/>
      <c r="G24" s="244"/>
      <c r="H24" s="244"/>
      <c r="I24" s="248"/>
      <c r="J24" s="248"/>
      <c r="K24" s="248"/>
      <c r="L24" s="248"/>
      <c r="M24" s="12"/>
    </row>
    <row r="25" spans="1:13" ht="14.4" customHeight="1">
      <c r="A25" s="246" t="s">
        <v>288</v>
      </c>
      <c r="B25" s="246" t="s">
        <v>263</v>
      </c>
      <c r="C25" s="246" t="s">
        <v>260</v>
      </c>
      <c r="D25" s="246" t="str">
        <f>IF(INPUT!G3,"ACREAGE","SQ FT")</f>
        <v>SQ FT</v>
      </c>
      <c r="E25" s="246" t="str">
        <f>IF(INPUT!G3,"ADJ. $/ACRE","ADJ. $/SQ FT")</f>
        <v>ADJ. $/SQ FT</v>
      </c>
      <c r="F25" s="878" t="s">
        <v>294</v>
      </c>
      <c r="G25" s="878"/>
      <c r="H25" s="878"/>
      <c r="I25" s="12"/>
      <c r="J25" s="12"/>
      <c r="K25" s="12"/>
      <c r="L25" s="12"/>
      <c r="M25" s="12"/>
    </row>
    <row r="26" spans="1:13" ht="14.4" customHeight="1">
      <c r="A26" s="879">
        <f>'Sales Grid'!D9</f>
        <v>101370038</v>
      </c>
      <c r="B26" s="960">
        <f>IF(INPUT!G3,'Land Grid'!D14,'Sales Grid'!D15)</f>
        <v>46114</v>
      </c>
      <c r="C26" s="961">
        <f>IF(INPUT!G3,'Land Grid'!D15,'Sales Grid'!D16)</f>
        <v>5300000</v>
      </c>
      <c r="D26" s="962">
        <f>IF(INPUT!G3,'Land Grid'!D17,'Sales Grid'!D19)</f>
        <v>17767</v>
      </c>
      <c r="E26" s="883">
        <f>IF(INPUT!G3,'Land Grid'!D38,'Sales Grid'!D38)</f>
        <v>357.97199999999998</v>
      </c>
      <c r="F26" s="879" t="str">
        <f>CONCATENATE("",UPPER(TEXT('Sales Grid'!D10,"")),", ",UPPER(TEXT('Sales Grid'!D11,"")),", CA")</f>
        <v>255 GLIDER CIR, CORONA, CA</v>
      </c>
      <c r="G26" s="879"/>
      <c r="H26" s="879"/>
      <c r="I26" s="12"/>
      <c r="J26" s="12"/>
      <c r="K26" s="12"/>
      <c r="L26" s="12"/>
      <c r="M26" s="12"/>
    </row>
    <row r="27" spans="1:13" ht="14.25" customHeight="1">
      <c r="A27" s="879"/>
      <c r="B27" s="960"/>
      <c r="C27" s="961"/>
      <c r="D27" s="962"/>
      <c r="E27" s="883"/>
      <c r="F27" s="879"/>
      <c r="G27" s="879"/>
      <c r="H27" s="879"/>
    </row>
    <row r="28" spans="1:13" ht="14.4" customHeight="1">
      <c r="A28" s="244"/>
      <c r="B28" s="244"/>
      <c r="C28" s="244"/>
      <c r="D28" s="244"/>
      <c r="E28" s="244"/>
      <c r="F28" s="244"/>
      <c r="G28" s="244"/>
      <c r="H28" s="244"/>
    </row>
    <row r="29" spans="1:13" ht="14.4" customHeight="1">
      <c r="A29" s="244"/>
      <c r="B29" s="244"/>
      <c r="C29" s="244"/>
      <c r="D29" s="244"/>
      <c r="E29" s="244"/>
      <c r="F29" s="244"/>
      <c r="G29" s="244"/>
      <c r="H29" s="244"/>
    </row>
    <row r="30" spans="1:13" ht="14.4" customHeight="1">
      <c r="A30" s="244"/>
      <c r="B30" s="244"/>
      <c r="C30" s="244"/>
      <c r="D30" s="244"/>
      <c r="E30" s="244"/>
      <c r="F30" s="244"/>
      <c r="G30" s="244"/>
      <c r="H30" s="244"/>
    </row>
    <row r="31" spans="1:13" ht="14.4" customHeight="1">
      <c r="A31" s="244"/>
      <c r="B31" s="244"/>
      <c r="C31" s="244"/>
      <c r="D31" s="244"/>
      <c r="E31" s="244"/>
      <c r="F31" s="244"/>
      <c r="G31" s="244"/>
      <c r="H31" s="244"/>
      <c r="I31" s="12"/>
      <c r="J31" s="12"/>
      <c r="K31" s="12"/>
      <c r="L31" s="12"/>
      <c r="M31" s="12"/>
    </row>
    <row r="32" spans="1:13" ht="14.4" customHeight="1">
      <c r="A32" s="244"/>
      <c r="B32" s="244"/>
      <c r="C32" s="244"/>
      <c r="D32" s="244"/>
      <c r="E32" s="244"/>
      <c r="F32" s="244"/>
      <c r="G32" s="244"/>
      <c r="H32" s="244"/>
      <c r="I32" s="12"/>
      <c r="J32" s="12"/>
      <c r="K32" s="12"/>
      <c r="L32" s="12"/>
      <c r="M32" s="12"/>
    </row>
    <row r="33" spans="1:15" ht="14.4" customHeight="1">
      <c r="A33" s="244"/>
      <c r="B33" s="244"/>
      <c r="C33" s="244"/>
      <c r="D33" s="244"/>
      <c r="E33" s="244"/>
      <c r="F33" s="244"/>
      <c r="G33" s="244"/>
      <c r="H33" s="244"/>
      <c r="I33" s="12"/>
      <c r="J33" s="12"/>
      <c r="K33" s="12"/>
      <c r="L33" s="12"/>
      <c r="M33" s="12"/>
    </row>
    <row r="34" spans="1:15" ht="14.4" customHeight="1">
      <c r="A34" s="244"/>
      <c r="B34" s="244"/>
      <c r="C34" s="244"/>
      <c r="D34" s="244"/>
      <c r="E34" s="244"/>
      <c r="F34" s="244"/>
      <c r="G34" s="244"/>
      <c r="H34" s="244"/>
      <c r="I34" s="12"/>
      <c r="J34" s="12"/>
      <c r="K34" s="12"/>
      <c r="L34" s="12"/>
      <c r="M34" s="12"/>
    </row>
    <row r="35" spans="1:15" ht="14.4" customHeight="1">
      <c r="A35" s="244"/>
      <c r="B35" s="244"/>
      <c r="C35" s="244"/>
      <c r="D35" s="244"/>
      <c r="E35" s="244"/>
      <c r="F35" s="244"/>
      <c r="G35" s="244"/>
      <c r="H35" s="244"/>
      <c r="I35" s="12"/>
      <c r="J35" s="12"/>
      <c r="K35" s="12"/>
      <c r="L35" s="12"/>
      <c r="M35" s="270"/>
    </row>
    <row r="36" spans="1:15" ht="14.4" customHeight="1">
      <c r="A36" s="244"/>
      <c r="B36" s="244"/>
      <c r="C36" s="244"/>
      <c r="D36" s="244"/>
      <c r="E36" s="244"/>
      <c r="F36" s="244"/>
      <c r="G36" s="244"/>
      <c r="H36" s="244"/>
      <c r="I36" s="12"/>
      <c r="J36" s="12"/>
      <c r="K36" s="12"/>
      <c r="L36" s="12"/>
      <c r="M36" s="270"/>
      <c r="O36" s="244"/>
    </row>
    <row r="37" spans="1:15" ht="14.4" customHeight="1">
      <c r="A37" s="244"/>
      <c r="B37" s="244"/>
      <c r="C37" s="244"/>
      <c r="D37" s="244"/>
      <c r="E37" s="244"/>
      <c r="F37" s="244"/>
      <c r="G37" s="244"/>
      <c r="H37" s="244"/>
      <c r="I37" s="12"/>
      <c r="J37" s="12"/>
      <c r="K37" s="12"/>
      <c r="L37" s="12"/>
      <c r="M37" s="12"/>
      <c r="O37" s="244"/>
    </row>
    <row r="38" spans="1:15" ht="14.4" customHeight="1">
      <c r="A38" s="244"/>
      <c r="B38" s="244"/>
      <c r="C38" s="244"/>
      <c r="D38" s="244"/>
      <c r="E38" s="244"/>
      <c r="F38" s="244"/>
      <c r="G38" s="244"/>
      <c r="H38" s="244"/>
      <c r="I38" s="12"/>
      <c r="J38" s="12"/>
      <c r="K38" s="12"/>
      <c r="L38" s="12"/>
      <c r="M38" s="12"/>
    </row>
    <row r="39" spans="1:15" ht="14.4" customHeight="1">
      <c r="A39" s="244"/>
      <c r="B39" s="244"/>
      <c r="C39" s="244"/>
      <c r="D39" s="244"/>
      <c r="E39" s="244"/>
      <c r="F39" s="244"/>
      <c r="G39" s="244"/>
      <c r="H39" s="244"/>
      <c r="I39" s="12"/>
      <c r="J39" s="12"/>
      <c r="K39" s="12"/>
      <c r="L39" s="12"/>
      <c r="M39" s="12"/>
    </row>
    <row r="40" spans="1:15" ht="14.4" customHeight="1">
      <c r="A40" s="244"/>
      <c r="B40" s="244"/>
      <c r="C40" s="244"/>
      <c r="D40" s="244"/>
      <c r="E40" s="244"/>
      <c r="F40" s="244"/>
      <c r="G40" s="244"/>
      <c r="H40" s="244"/>
      <c r="I40" s="12"/>
      <c r="J40" s="12"/>
      <c r="K40" s="12"/>
      <c r="L40" s="12"/>
      <c r="M40" s="12"/>
    </row>
    <row r="41" spans="1:15" ht="14.4" customHeight="1">
      <c r="A41" s="244"/>
      <c r="B41" s="244"/>
      <c r="C41" s="244"/>
      <c r="D41" s="244"/>
      <c r="E41" s="244"/>
      <c r="F41" s="244"/>
      <c r="G41" s="244"/>
      <c r="H41" s="244"/>
      <c r="I41" s="12"/>
      <c r="J41" s="12"/>
      <c r="K41" s="12"/>
      <c r="L41" s="12"/>
      <c r="M41" s="12"/>
    </row>
    <row r="42" spans="1:15" ht="14.4" customHeight="1">
      <c r="A42" s="244"/>
      <c r="B42" s="244"/>
      <c r="C42" s="244"/>
      <c r="D42" s="244"/>
      <c r="E42" s="244"/>
      <c r="F42" s="244"/>
      <c r="G42" s="244"/>
      <c r="H42" s="244"/>
      <c r="I42" s="244"/>
    </row>
    <row r="43" spans="1:15" ht="14.4" customHeight="1">
      <c r="A43" s="244"/>
      <c r="B43" s="244"/>
      <c r="C43" s="244"/>
      <c r="D43" s="244"/>
      <c r="E43" s="244"/>
      <c r="F43" s="244"/>
      <c r="G43" s="244"/>
      <c r="H43" s="244"/>
      <c r="I43" s="244"/>
    </row>
    <row r="44" spans="1:15" ht="14.4" customHeight="1">
      <c r="A44" s="244"/>
      <c r="B44" s="244"/>
      <c r="C44" s="244"/>
      <c r="D44" s="244"/>
      <c r="E44" s="244"/>
      <c r="F44" s="244"/>
      <c r="G44" s="244"/>
      <c r="H44" s="244"/>
      <c r="I44" s="244"/>
    </row>
    <row r="45" spans="1:15" ht="14.4" customHeight="1">
      <c r="A45" s="244"/>
      <c r="B45" s="244"/>
      <c r="C45" s="244"/>
      <c r="D45" s="244"/>
      <c r="E45" s="244"/>
      <c r="F45" s="244"/>
      <c r="G45" s="244"/>
      <c r="H45" s="244"/>
      <c r="I45" s="244"/>
    </row>
    <row r="46" spans="1:15" ht="14.4" customHeight="1">
      <c r="A46" s="244"/>
      <c r="B46" s="244"/>
      <c r="C46" s="244"/>
      <c r="D46" s="244"/>
      <c r="E46" s="244"/>
      <c r="F46" s="244"/>
      <c r="G46" s="244"/>
      <c r="H46" s="244"/>
      <c r="I46" s="244"/>
    </row>
    <row r="47" spans="1:15" ht="14.4" customHeight="1">
      <c r="A47" s="244"/>
      <c r="B47" s="244"/>
      <c r="C47" s="244"/>
      <c r="D47" s="244"/>
      <c r="E47" s="244"/>
      <c r="F47" s="244"/>
      <c r="G47" s="244"/>
      <c r="H47" s="244"/>
      <c r="I47" s="244"/>
    </row>
    <row r="48" spans="1:15" ht="14.4" customHeight="1">
      <c r="A48" s="244"/>
      <c r="B48" s="244"/>
      <c r="C48" s="244"/>
      <c r="D48" s="244"/>
      <c r="E48" s="244"/>
      <c r="F48" s="244"/>
      <c r="G48" s="244"/>
      <c r="H48" s="244"/>
      <c r="I48" s="244"/>
    </row>
    <row r="49" spans="1:13" ht="14.4" customHeight="1">
      <c r="A49" s="244"/>
      <c r="B49" s="244"/>
      <c r="C49" s="244"/>
      <c r="D49" s="244"/>
      <c r="E49" s="244"/>
      <c r="F49" s="244"/>
      <c r="G49" s="244"/>
      <c r="H49" s="244"/>
      <c r="I49" s="244"/>
    </row>
    <row r="50" spans="1:13" ht="14.4" customHeight="1">
      <c r="A50" s="244"/>
      <c r="B50" s="244"/>
      <c r="C50" s="244"/>
      <c r="D50" s="244"/>
      <c r="E50" s="244"/>
      <c r="F50" s="244"/>
      <c r="G50" s="244"/>
      <c r="H50" s="244"/>
      <c r="I50" s="244"/>
    </row>
    <row r="51" spans="1:13" ht="14.4" customHeight="1">
      <c r="A51" s="870" t="s">
        <v>87</v>
      </c>
      <c r="B51" s="870"/>
      <c r="C51" s="870"/>
      <c r="D51" s="870"/>
      <c r="E51" s="870"/>
      <c r="F51" s="870"/>
      <c r="G51" s="870"/>
      <c r="H51" s="870"/>
    </row>
    <row r="52" spans="1:13" ht="14.4" customHeight="1">
      <c r="A52" s="244"/>
      <c r="B52" s="244"/>
      <c r="C52" s="244"/>
      <c r="D52" s="244"/>
      <c r="E52" s="244"/>
      <c r="F52" s="244"/>
      <c r="G52" s="244"/>
      <c r="H52" s="244"/>
      <c r="I52" s="244"/>
    </row>
    <row r="53" spans="1:13" ht="14.4" customHeight="1">
      <c r="A53" s="244"/>
      <c r="B53" s="244"/>
      <c r="C53" s="244"/>
      <c r="D53" s="244"/>
      <c r="E53" s="244"/>
      <c r="F53" s="244"/>
      <c r="G53" s="244"/>
      <c r="H53" s="244"/>
      <c r="I53" s="244"/>
    </row>
    <row r="54" spans="1:13" ht="14.4" customHeight="1">
      <c r="A54" s="244"/>
      <c r="B54" s="244"/>
      <c r="C54" s="244"/>
      <c r="D54" s="244"/>
      <c r="E54" s="244"/>
      <c r="F54" s="244"/>
      <c r="G54" s="244"/>
      <c r="H54" s="244"/>
      <c r="I54" s="244"/>
      <c r="J54" s="243"/>
    </row>
    <row r="55" spans="1:13" ht="14.4" customHeight="1">
      <c r="A55" s="244"/>
      <c r="B55" s="244"/>
      <c r="C55" s="244"/>
      <c r="D55" s="244"/>
      <c r="E55" s="244"/>
      <c r="F55" s="244"/>
      <c r="G55" s="244"/>
      <c r="H55" s="244"/>
      <c r="I55" s="244"/>
    </row>
    <row r="56" spans="1:13" ht="14.4" customHeight="1">
      <c r="A56" s="244"/>
      <c r="B56" s="244"/>
      <c r="C56" s="244"/>
      <c r="D56" s="244"/>
      <c r="E56" s="244"/>
      <c r="F56" s="244"/>
      <c r="G56" s="244"/>
      <c r="H56" s="244"/>
    </row>
    <row r="57" spans="1:13" ht="14.4" customHeight="1">
      <c r="A57" s="244"/>
      <c r="B57" s="244"/>
      <c r="C57" s="244"/>
      <c r="D57" s="244"/>
      <c r="E57" s="244"/>
      <c r="F57" s="244"/>
      <c r="G57" s="244"/>
      <c r="H57" s="244"/>
      <c r="J57" s="243"/>
    </row>
    <row r="58" spans="1:13" ht="14.4" customHeight="1">
      <c r="A58" s="244"/>
      <c r="B58" s="244"/>
      <c r="C58" s="244"/>
      <c r="D58" s="244"/>
      <c r="E58" s="244"/>
      <c r="F58" s="244"/>
      <c r="G58" s="244"/>
      <c r="H58" s="244"/>
      <c r="I58" s="12"/>
      <c r="J58" s="12"/>
      <c r="K58" s="12"/>
      <c r="L58" s="12"/>
      <c r="M58" s="12"/>
    </row>
    <row r="59" spans="1:13" ht="14.4" customHeight="1">
      <c r="A59" s="244"/>
      <c r="B59" s="244"/>
      <c r="C59" s="244"/>
      <c r="D59" s="244"/>
      <c r="E59" s="244"/>
      <c r="F59" s="244"/>
      <c r="G59" s="244"/>
      <c r="H59" s="244"/>
      <c r="I59" s="12"/>
      <c r="J59" s="12"/>
      <c r="K59" s="12"/>
      <c r="L59" s="12"/>
      <c r="M59" s="12"/>
    </row>
    <row r="60" spans="1:13" ht="14.4" customHeight="1">
      <c r="A60" s="244"/>
      <c r="B60" s="244"/>
      <c r="C60" s="244"/>
      <c r="D60" s="244"/>
      <c r="E60" s="244"/>
      <c r="F60" s="244"/>
      <c r="G60" s="244"/>
      <c r="H60" s="244"/>
      <c r="I60" s="12"/>
      <c r="J60" s="12"/>
      <c r="K60" s="309" t="s">
        <v>295</v>
      </c>
      <c r="L60" s="12"/>
      <c r="M60" s="12"/>
    </row>
    <row r="61" spans="1:13" ht="14.4" customHeight="1">
      <c r="A61" s="244"/>
      <c r="B61" s="244"/>
      <c r="C61" s="244"/>
      <c r="D61" s="244"/>
      <c r="E61" s="244"/>
      <c r="F61" s="244"/>
      <c r="G61" s="244"/>
      <c r="H61" s="244"/>
      <c r="I61" s="12"/>
      <c r="J61" s="12"/>
      <c r="K61" s="12"/>
      <c r="L61" s="12"/>
      <c r="M61" s="12"/>
    </row>
    <row r="62" spans="1:13" ht="14.4" customHeight="1">
      <c r="A62" s="244"/>
      <c r="B62" s="244"/>
      <c r="C62" s="244"/>
      <c r="D62" s="244"/>
      <c r="E62" s="244"/>
      <c r="F62" s="244"/>
      <c r="G62" s="244"/>
      <c r="H62" s="244"/>
    </row>
    <row r="63" spans="1:13" ht="14.4" customHeight="1">
      <c r="A63" s="244"/>
      <c r="B63" s="244"/>
      <c r="C63" s="244"/>
      <c r="D63" s="244"/>
      <c r="E63" s="244"/>
      <c r="F63" s="244"/>
      <c r="G63" s="244"/>
      <c r="H63" s="244"/>
    </row>
    <row r="64" spans="1:13" ht="14.4" customHeight="1">
      <c r="A64" s="244"/>
      <c r="B64" s="244"/>
      <c r="C64" s="244"/>
      <c r="D64" s="244"/>
      <c r="E64" s="244"/>
      <c r="F64" s="244"/>
      <c r="G64" s="244"/>
      <c r="H64" s="244"/>
    </row>
    <row r="65" spans="1:14" ht="14.4" customHeight="1">
      <c r="A65" s="244"/>
      <c r="B65" s="244"/>
      <c r="C65" s="244"/>
      <c r="D65" s="244"/>
      <c r="E65" s="244"/>
      <c r="F65" s="244"/>
      <c r="G65" s="244"/>
      <c r="H65" s="244"/>
      <c r="I65" s="244"/>
    </row>
    <row r="66" spans="1:14" ht="14.4" customHeight="1">
      <c r="A66" s="244"/>
      <c r="B66" s="244"/>
      <c r="C66" s="244"/>
      <c r="D66" s="244"/>
      <c r="E66" s="244"/>
      <c r="F66" s="244"/>
      <c r="G66" s="244"/>
      <c r="H66" s="244"/>
      <c r="I66" s="244"/>
    </row>
    <row r="67" spans="1:14" ht="14.4" customHeight="1">
      <c r="A67" s="244"/>
      <c r="B67" s="244"/>
      <c r="C67" s="244"/>
      <c r="D67" s="244"/>
      <c r="E67" s="244"/>
      <c r="F67" s="244"/>
      <c r="G67" s="244"/>
      <c r="H67" s="244"/>
      <c r="I67" s="244"/>
    </row>
    <row r="68" spans="1:14" ht="14.4" customHeight="1">
      <c r="A68" s="244"/>
      <c r="B68" s="244"/>
      <c r="C68" s="244"/>
      <c r="D68" s="244"/>
      <c r="E68" s="244"/>
      <c r="F68" s="244"/>
      <c r="G68" s="244"/>
      <c r="H68" s="244"/>
      <c r="I68" s="244"/>
    </row>
    <row r="69" spans="1:14" ht="14.4" customHeight="1">
      <c r="A69" s="244"/>
      <c r="B69" s="244"/>
      <c r="C69" s="244"/>
      <c r="D69" s="244"/>
      <c r="E69" s="244"/>
      <c r="F69" s="244"/>
      <c r="G69" s="244"/>
      <c r="H69" s="244"/>
      <c r="I69" s="244"/>
    </row>
    <row r="70" spans="1:14" ht="14.4" customHeight="1">
      <c r="A70" s="244"/>
      <c r="B70" s="244"/>
      <c r="C70" s="244"/>
      <c r="D70" s="244"/>
      <c r="E70" s="244"/>
      <c r="F70" s="244"/>
      <c r="G70" s="244"/>
      <c r="H70" s="244"/>
      <c r="I70" s="244"/>
    </row>
    <row r="71" spans="1:14" ht="14.4" customHeight="1">
      <c r="A71" s="244"/>
      <c r="B71" s="244"/>
      <c r="C71" s="244"/>
      <c r="D71" s="244"/>
      <c r="E71" s="244"/>
      <c r="F71" s="244"/>
      <c r="G71" s="244"/>
      <c r="H71" s="244"/>
      <c r="I71" s="244"/>
    </row>
    <row r="72" spans="1:14" ht="14.4" customHeight="1">
      <c r="A72" s="244"/>
      <c r="B72" s="244"/>
      <c r="C72" s="244"/>
      <c r="D72" s="244"/>
      <c r="E72" s="244"/>
      <c r="F72" s="244"/>
      <c r="G72" s="244"/>
      <c r="H72" s="244"/>
      <c r="I72" s="244"/>
    </row>
    <row r="73" spans="1:14" ht="14.4" customHeight="1">
      <c r="A73" s="244"/>
      <c r="B73" s="244"/>
      <c r="C73" s="244"/>
      <c r="D73" s="244"/>
      <c r="E73" s="244"/>
      <c r="F73" s="244"/>
      <c r="G73" s="244"/>
      <c r="H73" s="244"/>
      <c r="I73" s="244"/>
    </row>
    <row r="74" spans="1:14" ht="14.4" customHeight="1">
      <c r="A74" s="244"/>
      <c r="B74" s="244"/>
      <c r="C74" s="244"/>
      <c r="D74" s="244"/>
      <c r="E74" s="244"/>
      <c r="F74" s="244"/>
      <c r="G74" s="244"/>
      <c r="H74" s="244"/>
      <c r="J74" s="244"/>
      <c r="K74" s="244"/>
      <c r="L74" s="244"/>
      <c r="M74" s="244"/>
      <c r="N74" s="244"/>
    </row>
    <row r="75" spans="1:14" ht="14.4" customHeight="1">
      <c r="A75" s="246" t="s">
        <v>288</v>
      </c>
      <c r="B75" s="246" t="s">
        <v>263</v>
      </c>
      <c r="C75" s="246" t="s">
        <v>260</v>
      </c>
      <c r="D75" s="246" t="str">
        <f>IF(INPUT!G3,"ACREAGE","SQ FT")</f>
        <v>SQ FT</v>
      </c>
      <c r="E75" s="246" t="str">
        <f>IF(INPUT!G3,"ADJ. $/ACRE","ADJ. $/SQ FT")</f>
        <v>ADJ. $/SQ FT</v>
      </c>
      <c r="F75" s="878" t="s">
        <v>294</v>
      </c>
      <c r="G75" s="878"/>
      <c r="H75" s="878"/>
      <c r="J75" s="244"/>
      <c r="K75" s="244"/>
      <c r="L75" s="244"/>
      <c r="M75" s="244"/>
      <c r="N75" s="244"/>
    </row>
    <row r="76" spans="1:14">
      <c r="A76" s="969">
        <f>'Sales Grid'!E9</f>
        <v>115200043</v>
      </c>
      <c r="B76" s="963">
        <f>IF(INPUT!G3,'Land Grid'!E14,'Sales Grid'!E15)</f>
        <v>46021</v>
      </c>
      <c r="C76" s="965">
        <f>IF(INPUT!G3,'Land Grid'!E15,'Sales Grid'!E16)</f>
        <v>2675000</v>
      </c>
      <c r="D76" s="967">
        <f>IF(INPUT!G3,'Land Grid'!E17,'Sales Grid'!E19)</f>
        <v>6936</v>
      </c>
      <c r="E76" s="971">
        <f>IF(INPUT!G3,'Land Grid'!E38,'Sales Grid'!E38)</f>
        <v>377.95659999999998</v>
      </c>
      <c r="F76" s="973" t="str">
        <f>CONCATENATE("",UPPER(TEXT('Sales Grid'!E10,"")),", ",UPPER(TEXT('Sales Grid'!E11,"")),", CA")</f>
        <v>127 RADIO RD, CORONA, CA</v>
      </c>
      <c r="G76" s="974"/>
      <c r="H76" s="975"/>
    </row>
    <row r="77" spans="1:14">
      <c r="A77" s="970"/>
      <c r="B77" s="964"/>
      <c r="C77" s="966"/>
      <c r="D77" s="968"/>
      <c r="E77" s="972"/>
      <c r="F77" s="976"/>
      <c r="G77" s="977"/>
      <c r="H77" s="978"/>
      <c r="I77" s="244"/>
    </row>
    <row r="78" spans="1:14" ht="14.4" customHeight="1">
      <c r="A78" s="244"/>
      <c r="B78" s="244"/>
      <c r="C78" s="244"/>
      <c r="D78" s="244"/>
      <c r="E78" s="244"/>
      <c r="F78" s="244"/>
      <c r="G78" s="244"/>
      <c r="H78" s="244"/>
      <c r="I78" s="244"/>
    </row>
    <row r="79" spans="1:14" ht="14.4" customHeight="1">
      <c r="A79" s="244"/>
      <c r="B79" s="244"/>
      <c r="C79" s="244"/>
      <c r="D79" s="244"/>
      <c r="E79" s="244"/>
      <c r="F79" s="244"/>
      <c r="G79" s="244"/>
      <c r="H79" s="244"/>
      <c r="I79" s="244"/>
    </row>
    <row r="80" spans="1:14" ht="14.4" customHeight="1">
      <c r="A80" s="244"/>
      <c r="B80" s="244"/>
      <c r="C80" s="244"/>
      <c r="D80" s="244"/>
      <c r="E80" s="244"/>
      <c r="F80" s="244"/>
      <c r="G80" s="244"/>
      <c r="H80" s="244"/>
      <c r="I80" s="244"/>
    </row>
    <row r="81" spans="1:9" ht="14.4" customHeight="1">
      <c r="A81" s="244"/>
      <c r="B81" s="244"/>
      <c r="C81" s="244"/>
      <c r="D81" s="244"/>
      <c r="E81" s="244"/>
      <c r="F81" s="244"/>
      <c r="G81" s="244"/>
      <c r="H81" s="244"/>
      <c r="I81" s="244"/>
    </row>
    <row r="82" spans="1:9" ht="14.4" customHeight="1">
      <c r="A82" s="244"/>
      <c r="B82" s="244"/>
      <c r="C82" s="244"/>
      <c r="D82" s="244"/>
      <c r="E82" s="244"/>
      <c r="F82" s="244"/>
      <c r="G82" s="244"/>
      <c r="H82" s="244"/>
      <c r="I82" s="244"/>
    </row>
    <row r="83" spans="1:9" ht="14.4" customHeight="1">
      <c r="A83" s="244"/>
      <c r="B83" s="244"/>
      <c r="C83" s="244"/>
      <c r="D83" s="244"/>
      <c r="E83" s="244"/>
      <c r="F83" s="244"/>
      <c r="G83" s="244"/>
      <c r="H83" s="244"/>
      <c r="I83" s="244"/>
    </row>
    <row r="84" spans="1:9" ht="14.4" customHeight="1">
      <c r="A84" s="244"/>
      <c r="B84" s="244"/>
      <c r="C84" s="244"/>
      <c r="D84" s="244"/>
      <c r="E84" s="244"/>
      <c r="F84" s="244"/>
      <c r="G84" s="244"/>
      <c r="H84" s="244"/>
      <c r="I84" s="244"/>
    </row>
    <row r="85" spans="1:9" ht="14.4" customHeight="1">
      <c r="A85" s="244"/>
      <c r="B85" s="244"/>
      <c r="C85" s="244"/>
      <c r="D85" s="244"/>
      <c r="E85" s="244"/>
      <c r="F85" s="244"/>
      <c r="G85" s="244"/>
      <c r="H85" s="244"/>
      <c r="I85" s="244"/>
    </row>
    <row r="86" spans="1:9" ht="14.4" customHeight="1">
      <c r="A86" s="244"/>
      <c r="B86" s="244"/>
      <c r="C86" s="244"/>
      <c r="D86" s="244"/>
      <c r="E86" s="244"/>
      <c r="F86" s="244"/>
      <c r="G86" s="244"/>
      <c r="H86" s="244"/>
      <c r="I86" s="244"/>
    </row>
    <row r="87" spans="1:9" ht="14.4" customHeight="1">
      <c r="A87" s="244"/>
      <c r="B87" s="244"/>
      <c r="C87" s="244"/>
      <c r="D87" s="244"/>
      <c r="E87" s="244"/>
      <c r="F87" s="244"/>
      <c r="G87" s="244"/>
      <c r="H87" s="244"/>
      <c r="I87" s="244"/>
    </row>
    <row r="88" spans="1:9" ht="14.4" customHeight="1">
      <c r="A88" s="244"/>
      <c r="B88" s="244"/>
      <c r="C88" s="244"/>
      <c r="D88" s="244"/>
      <c r="E88" s="244"/>
      <c r="F88" s="244"/>
      <c r="G88" s="244"/>
      <c r="H88" s="244"/>
      <c r="I88" s="244"/>
    </row>
    <row r="89" spans="1:9" ht="14.4" customHeight="1">
      <c r="A89" s="244"/>
      <c r="B89" s="244"/>
      <c r="C89" s="244"/>
      <c r="D89" s="244"/>
      <c r="E89" s="244"/>
      <c r="F89" s="244"/>
      <c r="G89" s="244"/>
      <c r="H89" s="244"/>
      <c r="I89" s="244"/>
    </row>
    <row r="90" spans="1:9" ht="14.4" customHeight="1">
      <c r="A90" s="244"/>
      <c r="B90" s="244"/>
      <c r="C90" s="244"/>
      <c r="D90" s="244"/>
      <c r="E90" s="244"/>
      <c r="F90" s="244"/>
      <c r="G90" s="244"/>
      <c r="H90" s="244"/>
      <c r="I90" s="244"/>
    </row>
    <row r="91" spans="1:9" ht="14.4" customHeight="1">
      <c r="A91" s="244"/>
      <c r="B91" s="244"/>
      <c r="C91" s="244"/>
      <c r="D91" s="244"/>
      <c r="E91" s="244"/>
      <c r="F91" s="244"/>
      <c r="G91" s="244"/>
      <c r="H91" s="244"/>
      <c r="I91" s="244"/>
    </row>
    <row r="92" spans="1:9" ht="14.4" customHeight="1">
      <c r="A92" s="244"/>
      <c r="B92" s="244"/>
      <c r="C92" s="244"/>
      <c r="D92" s="244"/>
      <c r="E92" s="244"/>
      <c r="F92" s="244"/>
      <c r="G92" s="244"/>
      <c r="H92" s="244"/>
      <c r="I92" s="244"/>
    </row>
    <row r="93" spans="1:9" ht="14.4" customHeight="1">
      <c r="A93" s="244"/>
      <c r="B93" s="244"/>
      <c r="C93" s="244"/>
      <c r="D93" s="244"/>
      <c r="E93" s="244"/>
      <c r="F93" s="244"/>
      <c r="G93" s="244"/>
      <c r="H93" s="244"/>
      <c r="I93" s="244"/>
    </row>
    <row r="94" spans="1:9" ht="14.4" customHeight="1">
      <c r="A94" s="244"/>
      <c r="B94" s="244"/>
      <c r="C94" s="244"/>
      <c r="D94" s="244"/>
      <c r="E94" s="244"/>
      <c r="F94" s="244"/>
      <c r="G94" s="244"/>
      <c r="H94" s="244"/>
      <c r="I94" s="244"/>
    </row>
    <row r="95" spans="1:9" ht="14.4" customHeight="1">
      <c r="A95" s="244"/>
      <c r="B95" s="244"/>
      <c r="C95" s="244"/>
      <c r="D95" s="244"/>
      <c r="E95" s="244"/>
      <c r="F95" s="244"/>
      <c r="G95" s="244"/>
      <c r="H95" s="244"/>
      <c r="I95" s="244"/>
    </row>
    <row r="96" spans="1:9" ht="14.4" customHeight="1">
      <c r="A96" s="244"/>
      <c r="B96" s="244"/>
      <c r="C96" s="244"/>
      <c r="D96" s="244"/>
      <c r="E96" s="244"/>
      <c r="F96" s="244"/>
      <c r="G96" s="244"/>
      <c r="H96" s="244"/>
      <c r="I96" s="244"/>
    </row>
    <row r="97" spans="1:13" ht="14.4" customHeight="1">
      <c r="A97" s="244"/>
      <c r="B97" s="244"/>
      <c r="C97" s="244"/>
      <c r="D97" s="244"/>
      <c r="E97" s="244"/>
      <c r="F97" s="244"/>
      <c r="G97" s="244"/>
      <c r="H97" s="244"/>
      <c r="I97" s="244"/>
    </row>
    <row r="98" spans="1:13" ht="14.4" customHeight="1">
      <c r="A98" s="244"/>
      <c r="B98" s="244"/>
      <c r="C98" s="244"/>
      <c r="D98" s="244"/>
      <c r="E98" s="244"/>
      <c r="F98" s="244"/>
      <c r="G98" s="244"/>
      <c r="H98" s="244"/>
      <c r="I98" s="244"/>
    </row>
    <row r="99" spans="1:13" ht="14.4" customHeight="1">
      <c r="A99" s="244"/>
      <c r="B99" s="244"/>
      <c r="C99" s="244"/>
      <c r="D99" s="244"/>
      <c r="E99" s="244"/>
      <c r="F99" s="244"/>
      <c r="G99" s="244"/>
      <c r="H99" s="244"/>
      <c r="I99" s="244"/>
    </row>
    <row r="100" spans="1:13" ht="14.4" customHeight="1">
      <c r="A100" s="244"/>
      <c r="B100" s="244"/>
      <c r="C100" s="244"/>
      <c r="D100" s="244"/>
      <c r="E100" s="244"/>
      <c r="F100" s="244"/>
      <c r="G100" s="244"/>
      <c r="H100" s="244"/>
      <c r="I100" s="244"/>
    </row>
    <row r="101" spans="1:13" ht="14.4" customHeight="1">
      <c r="A101" s="870" t="s">
        <v>159</v>
      </c>
      <c r="B101" s="870"/>
      <c r="C101" s="870"/>
      <c r="D101" s="870"/>
      <c r="E101" s="870"/>
      <c r="F101" s="870"/>
      <c r="G101" s="870"/>
      <c r="H101" s="870"/>
    </row>
    <row r="102" spans="1:13" ht="14.4" customHeight="1">
      <c r="A102" s="244"/>
      <c r="B102" s="244"/>
      <c r="C102" s="244"/>
      <c r="D102" s="244"/>
      <c r="E102" s="244"/>
      <c r="F102" s="244"/>
      <c r="G102" s="244"/>
      <c r="H102" s="244"/>
      <c r="I102" s="244"/>
    </row>
    <row r="103" spans="1:13" ht="14.4" customHeight="1">
      <c r="A103" s="244"/>
      <c r="B103" s="244"/>
      <c r="C103" s="244"/>
      <c r="D103" s="244"/>
      <c r="E103" s="244"/>
      <c r="F103" s="244"/>
      <c r="G103" s="244"/>
      <c r="H103" s="244"/>
      <c r="I103" s="244"/>
    </row>
    <row r="104" spans="1:13" ht="14.4" customHeight="1">
      <c r="A104" s="244"/>
      <c r="B104" s="244"/>
      <c r="C104" s="244"/>
      <c r="D104" s="244"/>
      <c r="E104" s="244"/>
      <c r="F104" s="244"/>
      <c r="G104" s="244"/>
      <c r="H104" s="244"/>
      <c r="I104" s="244"/>
      <c r="J104" s="243"/>
    </row>
    <row r="105" spans="1:13" ht="14.4" customHeight="1">
      <c r="A105" s="244"/>
      <c r="B105" s="244"/>
      <c r="C105" s="244"/>
      <c r="D105" s="244"/>
      <c r="E105" s="244"/>
      <c r="F105" s="244"/>
      <c r="G105" s="244"/>
      <c r="H105" s="244"/>
      <c r="I105" s="244"/>
    </row>
    <row r="106" spans="1:13" ht="14.4" customHeight="1">
      <c r="A106" s="244"/>
      <c r="B106" s="244"/>
      <c r="C106" s="244"/>
      <c r="D106" s="244"/>
      <c r="E106" s="244"/>
      <c r="F106" s="244"/>
      <c r="G106" s="244"/>
      <c r="H106" s="244"/>
    </row>
    <row r="107" spans="1:13" ht="14.4" customHeight="1">
      <c r="A107" s="244"/>
      <c r="B107" s="244"/>
      <c r="C107" s="244"/>
      <c r="D107" s="244"/>
      <c r="E107" s="244"/>
      <c r="F107" s="244"/>
      <c r="G107" s="244"/>
      <c r="H107" s="244"/>
      <c r="J107" s="243"/>
    </row>
    <row r="108" spans="1:13" ht="14.4" customHeight="1">
      <c r="A108" s="244"/>
      <c r="B108" s="244"/>
      <c r="C108" s="244"/>
      <c r="D108" s="244"/>
      <c r="E108" s="244"/>
      <c r="F108" s="244"/>
      <c r="G108" s="244"/>
      <c r="H108" s="244"/>
      <c r="I108" s="12"/>
      <c r="J108" s="12"/>
      <c r="K108" s="12"/>
      <c r="L108" s="12"/>
      <c r="M108" s="12"/>
    </row>
    <row r="109" spans="1:13" ht="14.4" customHeight="1">
      <c r="A109" s="244"/>
      <c r="B109" s="244"/>
      <c r="C109" s="244"/>
      <c r="D109" s="244"/>
      <c r="E109" s="244"/>
      <c r="F109" s="244"/>
      <c r="G109" s="244"/>
      <c r="H109" s="244"/>
      <c r="I109" s="12"/>
      <c r="J109" s="12"/>
      <c r="K109" s="12"/>
      <c r="L109" s="12"/>
      <c r="M109" s="12"/>
    </row>
    <row r="110" spans="1:13" ht="14.4" customHeight="1">
      <c r="A110" s="244"/>
      <c r="B110" s="244"/>
      <c r="C110" s="244"/>
      <c r="D110" s="244"/>
      <c r="E110" s="244"/>
      <c r="F110" s="244"/>
      <c r="G110" s="244"/>
      <c r="H110" s="244"/>
      <c r="I110" s="12"/>
      <c r="J110" s="12"/>
      <c r="K110" s="309" t="s">
        <v>295</v>
      </c>
      <c r="L110" s="12"/>
      <c r="M110" s="12"/>
    </row>
    <row r="111" spans="1:13" ht="14.4" customHeight="1">
      <c r="A111" s="244"/>
      <c r="B111" s="244"/>
      <c r="C111" s="244"/>
      <c r="D111" s="244"/>
      <c r="E111" s="244"/>
      <c r="F111" s="244"/>
      <c r="G111" s="244"/>
      <c r="H111" s="244"/>
      <c r="I111" s="12"/>
      <c r="J111" s="12"/>
      <c r="K111" s="12"/>
      <c r="L111" s="12"/>
      <c r="M111" s="12"/>
    </row>
    <row r="112" spans="1:13" ht="14.4" customHeight="1">
      <c r="A112" s="244"/>
      <c r="B112" s="244"/>
      <c r="C112" s="244"/>
      <c r="D112" s="244"/>
      <c r="E112" s="244"/>
      <c r="F112" s="244"/>
      <c r="G112" s="244"/>
      <c r="H112" s="244"/>
    </row>
    <row r="113" spans="1:13" ht="14.4" customHeight="1">
      <c r="A113" s="244"/>
      <c r="B113" s="244"/>
      <c r="C113" s="244"/>
      <c r="D113" s="244"/>
      <c r="E113" s="244"/>
      <c r="F113" s="244"/>
      <c r="G113" s="244"/>
      <c r="H113" s="244"/>
    </row>
    <row r="114" spans="1:13" ht="14.4" customHeight="1">
      <c r="A114" s="244"/>
      <c r="B114" s="244"/>
      <c r="C114" s="244"/>
      <c r="D114" s="244"/>
      <c r="E114" s="244"/>
      <c r="F114" s="244"/>
      <c r="G114" s="244"/>
      <c r="H114" s="244"/>
    </row>
    <row r="115" spans="1:13" ht="14.4" customHeight="1">
      <c r="A115" s="244"/>
      <c r="B115" s="244"/>
      <c r="C115" s="244"/>
      <c r="D115" s="244"/>
      <c r="E115" s="244"/>
      <c r="F115" s="244"/>
      <c r="G115" s="244"/>
      <c r="H115" s="244"/>
      <c r="I115" s="244"/>
    </row>
    <row r="116" spans="1:13" ht="14.4" customHeight="1">
      <c r="A116" s="244"/>
      <c r="B116" s="244"/>
      <c r="C116" s="244"/>
      <c r="D116" s="244"/>
      <c r="E116" s="244"/>
      <c r="F116" s="244"/>
      <c r="G116" s="244"/>
      <c r="H116" s="244"/>
      <c r="I116" s="244"/>
    </row>
    <row r="117" spans="1:13" ht="14.4" customHeight="1">
      <c r="A117" s="244"/>
      <c r="B117" s="244"/>
      <c r="C117" s="244"/>
      <c r="D117" s="244"/>
      <c r="E117" s="244"/>
      <c r="F117" s="244"/>
      <c r="G117" s="244"/>
      <c r="H117" s="244"/>
      <c r="I117" s="244"/>
    </row>
    <row r="118" spans="1:13" ht="14.4" customHeight="1">
      <c r="A118" s="244"/>
      <c r="B118" s="244"/>
      <c r="C118" s="244"/>
      <c r="D118" s="244"/>
      <c r="E118" s="244"/>
      <c r="F118" s="244"/>
      <c r="G118" s="244"/>
      <c r="H118" s="244"/>
      <c r="I118" s="244"/>
    </row>
    <row r="119" spans="1:13" ht="14.4" customHeight="1">
      <c r="A119" s="244"/>
      <c r="B119" s="244"/>
      <c r="C119" s="244"/>
      <c r="D119" s="244"/>
      <c r="E119" s="244"/>
      <c r="F119" s="244"/>
      <c r="G119" s="244"/>
      <c r="H119" s="244"/>
      <c r="I119" s="244"/>
    </row>
    <row r="120" spans="1:13" ht="14.4" customHeight="1">
      <c r="A120" s="244"/>
      <c r="B120" s="244"/>
      <c r="C120" s="244"/>
      <c r="D120" s="244"/>
      <c r="E120" s="244"/>
      <c r="F120" s="244"/>
      <c r="G120" s="244"/>
      <c r="H120" s="244"/>
      <c r="I120" s="244"/>
    </row>
    <row r="121" spans="1:13" ht="14.4" customHeight="1">
      <c r="A121" s="244"/>
      <c r="B121" s="244"/>
      <c r="C121" s="244"/>
      <c r="D121" s="244"/>
      <c r="E121" s="244"/>
      <c r="F121" s="244"/>
      <c r="G121" s="244"/>
      <c r="H121" s="244"/>
      <c r="I121" s="244"/>
    </row>
    <row r="122" spans="1:13" ht="14.4" customHeight="1">
      <c r="A122" s="244"/>
      <c r="B122" s="244"/>
      <c r="C122" s="244"/>
      <c r="D122" s="244"/>
      <c r="E122" s="244"/>
      <c r="F122" s="244"/>
      <c r="G122" s="244"/>
      <c r="H122" s="244"/>
      <c r="I122" s="244"/>
    </row>
    <row r="123" spans="1:13" ht="14.4" customHeight="1">
      <c r="A123" s="244"/>
      <c r="B123" s="244"/>
      <c r="C123" s="244"/>
      <c r="D123" s="244"/>
      <c r="E123" s="244"/>
      <c r="F123" s="244"/>
      <c r="G123" s="244"/>
      <c r="H123" s="244"/>
      <c r="I123" s="244"/>
    </row>
    <row r="124" spans="1:13" ht="14.4" customHeight="1">
      <c r="A124" s="244"/>
      <c r="B124" s="244"/>
      <c r="C124" s="244"/>
      <c r="D124" s="244"/>
      <c r="E124" s="244"/>
      <c r="F124" s="244"/>
      <c r="G124" s="244"/>
      <c r="H124" s="244"/>
      <c r="J124" s="244"/>
      <c r="K124" s="244"/>
      <c r="L124" s="244"/>
      <c r="M124" s="244"/>
    </row>
    <row r="125" spans="1:13" ht="14.4" customHeight="1">
      <c r="A125" s="246" t="s">
        <v>288</v>
      </c>
      <c r="B125" s="246" t="s">
        <v>263</v>
      </c>
      <c r="C125" s="246" t="s">
        <v>260</v>
      </c>
      <c r="D125" s="246" t="str">
        <f>IF(INPUT!G3,"ACREAGE","SQ FT")</f>
        <v>SQ FT</v>
      </c>
      <c r="E125" s="246" t="str">
        <f>IF(INPUT!G3,"ADJ. $/ACRE","ADJ. $/SQ FT")</f>
        <v>ADJ. $/SQ FT</v>
      </c>
      <c r="F125" s="878" t="s">
        <v>294</v>
      </c>
      <c r="G125" s="878"/>
      <c r="H125" s="878"/>
      <c r="J125" s="244"/>
      <c r="K125" s="244"/>
      <c r="L125" s="244"/>
      <c r="M125" s="244"/>
    </row>
    <row r="126" spans="1:13">
      <c r="A126" s="969">
        <f>'Sales Grid'!F9</f>
        <v>107350010</v>
      </c>
      <c r="B126" s="963">
        <f ca="1">IFERROR((IF(INPUT!G3,'Land Grid'!F14,'Sales Grid'!F15)),"")</f>
        <v>45817</v>
      </c>
      <c r="C126" s="965">
        <f>IF(INPUT!G3,'Land Grid'!F15,'Sales Grid'!F16)</f>
        <v>6400000</v>
      </c>
      <c r="D126" s="967">
        <f>IF(INPUT!G3,'Land Grid'!F17,'Sales Grid'!F19)</f>
        <v>16504</v>
      </c>
      <c r="E126" s="971">
        <f>IF(INPUT!G3,'Land Grid'!F38,'Sales Grid'!F38)</f>
        <v>426.55799999999999</v>
      </c>
      <c r="F126" s="973" t="str">
        <f>CONCATENATE("",UPPER(TEXT('Sales Grid'!F10,"")),", ",UPPER(TEXT('Land Grid'!F12,"")),", CA")</f>
        <v>1220 GRAPHITE DR, CORONA, CA</v>
      </c>
      <c r="G126" s="974"/>
      <c r="H126" s="975"/>
    </row>
    <row r="127" spans="1:13">
      <c r="A127" s="970"/>
      <c r="B127" s="964"/>
      <c r="C127" s="966"/>
      <c r="D127" s="968"/>
      <c r="E127" s="972"/>
      <c r="F127" s="976"/>
      <c r="G127" s="977"/>
      <c r="H127" s="978"/>
      <c r="I127" s="244"/>
    </row>
    <row r="128" spans="1:13" ht="14.4" customHeight="1">
      <c r="A128" s="244"/>
      <c r="B128" s="244"/>
      <c r="C128" s="244"/>
      <c r="D128" s="244"/>
      <c r="E128" s="244"/>
      <c r="F128" s="244"/>
      <c r="G128" s="244"/>
      <c r="H128" s="244"/>
      <c r="I128" s="244"/>
    </row>
    <row r="129" spans="1:9" ht="14.4" customHeight="1">
      <c r="A129" s="244"/>
      <c r="B129" s="244"/>
      <c r="C129" s="244"/>
      <c r="D129" s="244"/>
      <c r="E129" s="244"/>
      <c r="F129" s="244"/>
      <c r="G129" s="244"/>
      <c r="H129" s="244"/>
      <c r="I129" s="244"/>
    </row>
    <row r="130" spans="1:9" ht="14.4" customHeight="1">
      <c r="A130" s="244"/>
      <c r="B130" s="244"/>
      <c r="C130" s="244"/>
      <c r="D130" s="244"/>
      <c r="E130" s="244"/>
      <c r="F130" s="244"/>
      <c r="G130" s="244"/>
      <c r="H130" s="244"/>
      <c r="I130" s="244"/>
    </row>
    <row r="131" spans="1:9" ht="14.4" customHeight="1">
      <c r="A131" s="244"/>
      <c r="B131" s="244"/>
      <c r="C131" s="244"/>
      <c r="D131" s="244"/>
      <c r="E131" s="244"/>
      <c r="F131" s="244"/>
      <c r="G131" s="244"/>
      <c r="H131" s="244"/>
      <c r="I131" s="244"/>
    </row>
    <row r="132" spans="1:9" ht="14.4" customHeight="1">
      <c r="A132" s="244"/>
      <c r="B132" s="244"/>
      <c r="C132" s="244"/>
      <c r="D132" s="244"/>
      <c r="E132" s="244"/>
      <c r="F132" s="244"/>
      <c r="G132" s="244"/>
      <c r="H132" s="244"/>
      <c r="I132" s="244"/>
    </row>
    <row r="133" spans="1:9" ht="14.4" customHeight="1">
      <c r="A133" s="244"/>
      <c r="B133" s="244"/>
      <c r="C133" s="244"/>
      <c r="D133" s="244"/>
      <c r="E133" s="244"/>
      <c r="F133" s="244"/>
      <c r="G133" s="244"/>
      <c r="H133" s="244"/>
      <c r="I133" s="244"/>
    </row>
    <row r="134" spans="1:9" ht="14.4" customHeight="1">
      <c r="A134" s="244"/>
      <c r="B134" s="244"/>
      <c r="C134" s="244"/>
      <c r="D134" s="244"/>
      <c r="E134" s="244"/>
      <c r="F134" s="244"/>
      <c r="G134" s="244"/>
      <c r="H134" s="244"/>
      <c r="I134" s="244"/>
    </row>
    <row r="135" spans="1:9" ht="14.4" customHeight="1">
      <c r="A135" s="244"/>
      <c r="B135" s="244"/>
      <c r="C135" s="244"/>
      <c r="D135" s="244"/>
      <c r="E135" s="244"/>
      <c r="F135" s="244"/>
      <c r="G135" s="244"/>
      <c r="H135" s="244"/>
      <c r="I135" s="244"/>
    </row>
    <row r="136" spans="1:9" ht="14.4" customHeight="1">
      <c r="A136" s="244"/>
      <c r="B136" s="244"/>
      <c r="C136" s="244"/>
      <c r="D136" s="244"/>
      <c r="E136" s="244"/>
      <c r="F136" s="244"/>
      <c r="G136" s="244"/>
      <c r="H136" s="244"/>
      <c r="I136" s="244"/>
    </row>
    <row r="137" spans="1:9" ht="14.4" customHeight="1">
      <c r="A137" s="244"/>
      <c r="B137" s="244"/>
      <c r="C137" s="244"/>
      <c r="D137" s="244"/>
      <c r="E137" s="244"/>
      <c r="F137" s="244"/>
      <c r="G137" s="244"/>
      <c r="H137" s="244"/>
      <c r="I137" s="244"/>
    </row>
    <row r="138" spans="1:9" ht="14.4" customHeight="1">
      <c r="A138" s="244"/>
      <c r="B138" s="244"/>
      <c r="C138" s="244"/>
      <c r="D138" s="244"/>
      <c r="E138" s="244"/>
      <c r="F138" s="244"/>
      <c r="G138" s="244"/>
      <c r="H138" s="244"/>
      <c r="I138" s="244"/>
    </row>
    <row r="139" spans="1:9" ht="14.4" customHeight="1">
      <c r="A139" s="244"/>
      <c r="B139" s="244"/>
      <c r="C139" s="244"/>
      <c r="D139" s="244"/>
      <c r="E139" s="244"/>
      <c r="F139" s="244"/>
      <c r="G139" s="244"/>
      <c r="H139" s="244"/>
      <c r="I139" s="244"/>
    </row>
    <row r="140" spans="1:9" ht="14.4" customHeight="1">
      <c r="A140" s="244"/>
      <c r="B140" s="244"/>
      <c r="C140" s="244"/>
      <c r="D140" s="244"/>
      <c r="E140" s="244"/>
      <c r="F140" s="244"/>
      <c r="G140" s="244"/>
      <c r="H140" s="244"/>
      <c r="I140" s="244"/>
    </row>
    <row r="141" spans="1:9" ht="14.4" customHeight="1">
      <c r="A141" s="244"/>
      <c r="B141" s="244"/>
      <c r="C141" s="244"/>
      <c r="D141" s="244"/>
      <c r="E141" s="244"/>
      <c r="F141" s="244"/>
      <c r="G141" s="244"/>
      <c r="H141" s="244"/>
      <c r="I141" s="244"/>
    </row>
    <row r="142" spans="1:9" ht="14.4" customHeight="1">
      <c r="A142" s="244"/>
      <c r="B142" s="244"/>
      <c r="C142" s="244"/>
      <c r="D142" s="244"/>
      <c r="E142" s="244"/>
      <c r="F142" s="244"/>
      <c r="G142" s="244"/>
      <c r="H142" s="244"/>
      <c r="I142" s="244"/>
    </row>
    <row r="143" spans="1:9" ht="14.4" customHeight="1">
      <c r="A143" s="244"/>
      <c r="B143" s="244"/>
      <c r="C143" s="244"/>
      <c r="D143" s="244"/>
      <c r="E143" s="244"/>
      <c r="F143" s="244"/>
      <c r="G143" s="244"/>
      <c r="H143" s="244"/>
      <c r="I143" s="244"/>
    </row>
    <row r="144" spans="1:9" ht="14.4" customHeight="1">
      <c r="A144" s="244"/>
      <c r="B144" s="244"/>
      <c r="C144" s="244"/>
      <c r="D144" s="244"/>
      <c r="E144" s="244"/>
      <c r="F144" s="244"/>
      <c r="G144" s="244"/>
      <c r="H144" s="244"/>
      <c r="I144" s="244"/>
    </row>
    <row r="145" spans="1:13" ht="14.4" customHeight="1">
      <c r="A145" s="244"/>
      <c r="B145" s="244"/>
      <c r="C145" s="244"/>
      <c r="D145" s="244"/>
      <c r="E145" s="244"/>
      <c r="F145" s="244"/>
      <c r="G145" s="244"/>
      <c r="H145" s="244"/>
      <c r="I145" s="244"/>
    </row>
    <row r="146" spans="1:13" ht="14.4" customHeight="1">
      <c r="A146" s="244"/>
      <c r="B146" s="244"/>
      <c r="C146" s="244"/>
      <c r="D146" s="244"/>
      <c r="E146" s="244"/>
      <c r="F146" s="244"/>
      <c r="G146" s="244"/>
      <c r="H146" s="244"/>
      <c r="I146" s="244"/>
    </row>
    <row r="147" spans="1:13" ht="14.4" customHeight="1">
      <c r="A147" s="244"/>
      <c r="B147" s="244"/>
      <c r="C147" s="244"/>
      <c r="D147" s="244"/>
      <c r="E147" s="244"/>
      <c r="F147" s="244"/>
      <c r="G147" s="244"/>
      <c r="H147" s="244"/>
      <c r="I147" s="244"/>
    </row>
    <row r="148" spans="1:13" ht="14.4" customHeight="1">
      <c r="A148" s="244"/>
      <c r="B148" s="244"/>
      <c r="C148" s="244"/>
      <c r="D148" s="244"/>
      <c r="E148" s="244"/>
      <c r="F148" s="244"/>
      <c r="G148" s="244"/>
      <c r="H148" s="244"/>
      <c r="I148" s="244"/>
    </row>
    <row r="149" spans="1:13" ht="14.4" customHeight="1">
      <c r="A149" s="244"/>
      <c r="B149" s="244"/>
      <c r="C149" s="244"/>
      <c r="D149" s="244"/>
      <c r="E149" s="244"/>
      <c r="F149" s="244"/>
      <c r="G149" s="244"/>
      <c r="H149" s="244"/>
      <c r="I149" s="244"/>
    </row>
    <row r="150" spans="1:13" ht="14.4" customHeight="1">
      <c r="A150" s="244"/>
      <c r="B150" s="244"/>
      <c r="C150" s="244"/>
      <c r="D150" s="244"/>
      <c r="E150" s="244"/>
      <c r="F150" s="244"/>
      <c r="G150" s="244"/>
      <c r="H150" s="244"/>
      <c r="I150" s="244"/>
    </row>
    <row r="151" spans="1:13" ht="14.4" customHeight="1">
      <c r="A151" s="870" t="s">
        <v>86</v>
      </c>
      <c r="B151" s="870"/>
      <c r="C151" s="870"/>
      <c r="D151" s="870"/>
      <c r="E151" s="870"/>
      <c r="F151" s="870"/>
      <c r="G151" s="870"/>
      <c r="H151" s="870"/>
    </row>
    <row r="152" spans="1:13" ht="14.4" customHeight="1">
      <c r="A152" s="244"/>
      <c r="B152" s="244"/>
      <c r="C152" s="244"/>
      <c r="D152" s="244"/>
      <c r="E152" s="244"/>
      <c r="F152" s="244"/>
      <c r="G152" s="244"/>
      <c r="H152" s="244"/>
      <c r="I152" s="244"/>
    </row>
    <row r="153" spans="1:13" ht="14.4" customHeight="1">
      <c r="A153" s="244"/>
      <c r="B153" s="244"/>
      <c r="C153" s="244"/>
      <c r="D153" s="244"/>
      <c r="E153" s="244"/>
      <c r="F153" s="244"/>
      <c r="G153" s="244"/>
      <c r="H153" s="244"/>
      <c r="I153" s="244"/>
    </row>
    <row r="154" spans="1:13" ht="14.4" customHeight="1">
      <c r="A154" s="244"/>
      <c r="B154" s="244"/>
      <c r="C154" s="244"/>
      <c r="D154" s="244"/>
      <c r="E154" s="244"/>
      <c r="F154" s="244"/>
      <c r="G154" s="244"/>
      <c r="H154" s="244"/>
      <c r="I154" s="244"/>
      <c r="J154" s="243"/>
    </row>
    <row r="155" spans="1:13" ht="14.4" customHeight="1">
      <c r="A155" s="244"/>
      <c r="B155" s="244"/>
      <c r="C155" s="244"/>
      <c r="D155" s="244"/>
      <c r="E155" s="244"/>
      <c r="F155" s="244"/>
      <c r="G155" s="244"/>
      <c r="H155" s="244"/>
      <c r="I155" s="244"/>
    </row>
    <row r="156" spans="1:13" ht="14.4" customHeight="1">
      <c r="A156" s="244"/>
      <c r="B156" s="244"/>
      <c r="C156" s="244"/>
      <c r="D156" s="244"/>
      <c r="E156" s="244"/>
      <c r="F156" s="244"/>
      <c r="G156" s="244"/>
      <c r="H156" s="244"/>
    </row>
    <row r="157" spans="1:13" ht="14.4" customHeight="1">
      <c r="A157" s="244"/>
      <c r="B157" s="244"/>
      <c r="C157" s="244"/>
      <c r="D157" s="244"/>
      <c r="E157" s="244"/>
      <c r="F157" s="244"/>
      <c r="G157" s="244"/>
      <c r="H157" s="244"/>
      <c r="J157" s="243"/>
    </row>
    <row r="158" spans="1:13" ht="14.4" customHeight="1">
      <c r="A158" s="244"/>
      <c r="B158" s="244"/>
      <c r="C158" s="244"/>
      <c r="D158" s="244"/>
      <c r="E158" s="244"/>
      <c r="F158" s="244"/>
      <c r="G158" s="244"/>
      <c r="H158" s="244"/>
      <c r="I158" s="12"/>
      <c r="J158" s="12"/>
      <c r="K158" s="12"/>
      <c r="L158" s="12"/>
      <c r="M158" s="12"/>
    </row>
    <row r="159" spans="1:13" ht="14.4" customHeight="1">
      <c r="A159" s="244"/>
      <c r="B159" s="244"/>
      <c r="C159" s="244"/>
      <c r="D159" s="244"/>
      <c r="E159" s="244"/>
      <c r="F159" s="244"/>
      <c r="G159" s="244"/>
      <c r="H159" s="244"/>
      <c r="I159" s="12"/>
      <c r="J159" s="12"/>
      <c r="K159" s="12"/>
      <c r="L159" s="12"/>
      <c r="M159" s="12"/>
    </row>
    <row r="160" spans="1:13" ht="14.4" customHeight="1">
      <c r="A160" s="244"/>
      <c r="B160" s="244"/>
      <c r="C160" s="244"/>
      <c r="D160" s="244"/>
      <c r="E160" s="244"/>
      <c r="F160" s="244"/>
      <c r="G160" s="244"/>
      <c r="H160" s="244"/>
      <c r="I160" s="12"/>
      <c r="J160" s="12"/>
      <c r="K160" s="309" t="s">
        <v>295</v>
      </c>
      <c r="L160" s="12"/>
      <c r="M160" s="12"/>
    </row>
    <row r="161" spans="1:13" ht="14.4" customHeight="1">
      <c r="A161" s="244"/>
      <c r="B161" s="244"/>
      <c r="C161" s="244"/>
      <c r="D161" s="244"/>
      <c r="E161" s="244"/>
      <c r="F161" s="244"/>
      <c r="G161" s="244"/>
      <c r="H161" s="244"/>
      <c r="I161" s="12"/>
      <c r="J161" s="12"/>
      <c r="K161" s="12"/>
      <c r="L161" s="12"/>
      <c r="M161" s="12"/>
    </row>
    <row r="162" spans="1:13" ht="14.4" customHeight="1">
      <c r="A162" s="244"/>
      <c r="B162" s="244"/>
      <c r="C162" s="244"/>
      <c r="D162" s="244"/>
      <c r="E162" s="244"/>
      <c r="F162" s="244"/>
      <c r="G162" s="244"/>
      <c r="H162" s="244"/>
    </row>
    <row r="163" spans="1:13" ht="14.4" customHeight="1">
      <c r="A163" s="244"/>
      <c r="B163" s="244"/>
      <c r="C163" s="244"/>
      <c r="D163" s="244"/>
      <c r="E163" s="244"/>
      <c r="F163" s="244"/>
      <c r="G163" s="244"/>
      <c r="H163" s="244"/>
    </row>
    <row r="164" spans="1:13" ht="14.4" customHeight="1">
      <c r="A164" s="244"/>
      <c r="B164" s="244"/>
      <c r="C164" s="244"/>
      <c r="D164" s="244"/>
      <c r="E164" s="244"/>
      <c r="F164" s="244"/>
      <c r="G164" s="244"/>
      <c r="H164" s="244"/>
    </row>
    <row r="165" spans="1:13" ht="14.4" customHeight="1">
      <c r="A165" s="244"/>
      <c r="B165" s="244"/>
      <c r="C165" s="244"/>
      <c r="D165" s="244"/>
      <c r="E165" s="244"/>
      <c r="F165" s="244"/>
      <c r="G165" s="244"/>
      <c r="H165" s="244"/>
      <c r="I165" s="244"/>
    </row>
    <row r="166" spans="1:13" ht="14.4" customHeight="1">
      <c r="A166" s="244"/>
      <c r="B166" s="244"/>
      <c r="C166" s="244"/>
      <c r="D166" s="244"/>
      <c r="E166" s="244"/>
      <c r="F166" s="244"/>
      <c r="G166" s="244"/>
      <c r="H166" s="244"/>
      <c r="I166" s="244"/>
    </row>
    <row r="167" spans="1:13" ht="14.4" customHeight="1">
      <c r="A167" s="244"/>
      <c r="B167" s="244"/>
      <c r="C167" s="244"/>
      <c r="D167" s="244"/>
      <c r="E167" s="244"/>
      <c r="F167" s="244"/>
      <c r="G167" s="244"/>
      <c r="H167" s="244"/>
      <c r="I167" s="244"/>
    </row>
    <row r="168" spans="1:13" ht="14.4" customHeight="1">
      <c r="A168" s="244"/>
      <c r="B168" s="244"/>
      <c r="C168" s="244"/>
      <c r="D168" s="244"/>
      <c r="E168" s="244"/>
      <c r="F168" s="244"/>
      <c r="G168" s="244"/>
      <c r="H168" s="244"/>
      <c r="I168" s="244"/>
    </row>
    <row r="169" spans="1:13" ht="14.4" customHeight="1">
      <c r="A169" s="244"/>
      <c r="B169" s="244"/>
      <c r="C169" s="244"/>
      <c r="D169" s="244"/>
      <c r="E169" s="244"/>
      <c r="F169" s="244"/>
      <c r="G169" s="244"/>
      <c r="H169" s="244"/>
      <c r="I169" s="244"/>
    </row>
    <row r="170" spans="1:13" ht="14.4" customHeight="1">
      <c r="A170" s="244"/>
      <c r="B170" s="244"/>
      <c r="C170" s="244"/>
      <c r="D170" s="244"/>
      <c r="E170" s="244"/>
      <c r="F170" s="244"/>
      <c r="G170" s="244"/>
      <c r="H170" s="244"/>
      <c r="I170" s="244"/>
    </row>
    <row r="171" spans="1:13" ht="14.4" customHeight="1">
      <c r="A171" s="244"/>
      <c r="B171" s="244"/>
      <c r="C171" s="244"/>
      <c r="D171" s="244"/>
      <c r="E171" s="244"/>
      <c r="F171" s="244"/>
      <c r="G171" s="244"/>
      <c r="H171" s="244"/>
      <c r="I171" s="244"/>
    </row>
    <row r="172" spans="1:13" ht="14.4" customHeight="1">
      <c r="A172" s="244"/>
      <c r="B172" s="244"/>
      <c r="C172" s="244"/>
      <c r="D172" s="244"/>
      <c r="E172" s="244"/>
      <c r="F172" s="244"/>
      <c r="G172" s="244"/>
      <c r="H172" s="244"/>
      <c r="I172" s="244"/>
    </row>
    <row r="173" spans="1:13" ht="14.4" customHeight="1">
      <c r="A173" s="244"/>
      <c r="B173" s="244"/>
      <c r="C173" s="244"/>
      <c r="D173" s="244"/>
      <c r="E173" s="244"/>
      <c r="F173" s="244"/>
      <c r="G173" s="244"/>
      <c r="H173" s="244"/>
      <c r="I173" s="244"/>
    </row>
    <row r="174" spans="1:13" ht="14.4" customHeight="1">
      <c r="A174" s="244"/>
      <c r="B174" s="244"/>
      <c r="C174" s="244"/>
      <c r="D174" s="244"/>
      <c r="E174" s="244"/>
      <c r="F174" s="244"/>
      <c r="G174" s="244"/>
      <c r="H174" s="244"/>
      <c r="J174" s="244"/>
      <c r="K174" s="244"/>
      <c r="L174" s="244"/>
      <c r="M174" s="244"/>
    </row>
    <row r="175" spans="1:13" ht="14.4" customHeight="1">
      <c r="A175" s="246" t="s">
        <v>288</v>
      </c>
      <c r="B175" s="246" t="s">
        <v>263</v>
      </c>
      <c r="C175" s="246" t="s">
        <v>260</v>
      </c>
      <c r="D175" s="246" t="str">
        <f>IF(INPUT!G3,"ACREAGE","SQ FT")</f>
        <v>SQ FT</v>
      </c>
      <c r="E175" s="246" t="str">
        <f>IF(INPUT!G3,"ADJ. $/ACRE","ADJ. $/SQ FT")</f>
        <v>ADJ. $/SQ FT</v>
      </c>
      <c r="F175" s="878" t="s">
        <v>294</v>
      </c>
      <c r="G175" s="878"/>
      <c r="H175" s="878"/>
      <c r="J175" s="244"/>
      <c r="K175" s="244"/>
      <c r="L175" s="244"/>
      <c r="M175" s="244"/>
    </row>
    <row r="176" spans="1:13">
      <c r="A176" s="969">
        <f>'Sales Grid'!G9</f>
        <v>211060012</v>
      </c>
      <c r="B176" s="963">
        <f>IF(INPUT!G3,'Land Grid'!G14,'Sales Grid'!G15)</f>
        <v>46027</v>
      </c>
      <c r="C176" s="965">
        <f>IF(INPUT!G3,'Land Grid'!G15,'Sales Grid'!G16)</f>
        <v>1570000</v>
      </c>
      <c r="D176" s="967">
        <f>IF(INPUT!G3,'Land Grid'!G17,'Sales Grid'!G19)</f>
        <v>5840</v>
      </c>
      <c r="E176" s="971">
        <f>IF(INPUT!G3,'Land Grid'!G38,'Sales Grid'!G38)</f>
        <v>295.72399999999999</v>
      </c>
      <c r="F176" s="973" t="str">
        <f>CONCATENATE("",UPPER(TEXT('Sales Grid'!G10,"")),", ",UPPER(TEXT('Land Grid'!G12,"")),", CA")</f>
        <v>3403 DURAHART ST, RIVERSIDE, CA</v>
      </c>
      <c r="G176" s="974"/>
      <c r="H176" s="975"/>
    </row>
    <row r="177" spans="1:9">
      <c r="A177" s="970"/>
      <c r="B177" s="964"/>
      <c r="C177" s="966"/>
      <c r="D177" s="968"/>
      <c r="E177" s="972"/>
      <c r="F177" s="976"/>
      <c r="G177" s="977"/>
      <c r="H177" s="978"/>
      <c r="I177" s="244"/>
    </row>
    <row r="178" spans="1:9" ht="14.4" customHeight="1">
      <c r="A178" s="244"/>
      <c r="B178" s="244"/>
      <c r="C178" s="244"/>
      <c r="D178" s="244"/>
      <c r="E178" s="244"/>
      <c r="F178" s="244"/>
      <c r="G178" s="244"/>
      <c r="H178" s="244"/>
      <c r="I178" s="244"/>
    </row>
    <row r="179" spans="1:9" ht="14.4" customHeight="1">
      <c r="A179" s="244"/>
      <c r="B179" s="244"/>
      <c r="C179" s="244"/>
      <c r="D179" s="244"/>
      <c r="E179" s="244"/>
      <c r="F179" s="244"/>
      <c r="G179" s="244"/>
      <c r="H179" s="244"/>
      <c r="I179" s="244"/>
    </row>
    <row r="180" spans="1:9" ht="14.4" customHeight="1">
      <c r="A180" s="244"/>
      <c r="B180" s="244"/>
      <c r="C180" s="244"/>
      <c r="D180" s="244"/>
      <c r="E180" s="244"/>
      <c r="F180" s="244"/>
      <c r="G180" s="244"/>
      <c r="H180" s="244"/>
      <c r="I180" s="244"/>
    </row>
    <row r="181" spans="1:9" ht="14.4" customHeight="1">
      <c r="A181" s="244"/>
      <c r="B181" s="244"/>
      <c r="C181" s="244"/>
      <c r="D181" s="244"/>
      <c r="E181" s="244"/>
      <c r="F181" s="244"/>
      <c r="G181" s="244"/>
      <c r="H181" s="244"/>
      <c r="I181" s="244"/>
    </row>
    <row r="182" spans="1:9" ht="14.4" customHeight="1">
      <c r="A182" s="244"/>
      <c r="B182" s="244"/>
      <c r="C182" s="244"/>
      <c r="D182" s="244"/>
      <c r="E182" s="244"/>
      <c r="F182" s="244"/>
      <c r="G182" s="244"/>
      <c r="H182" s="244"/>
      <c r="I182" s="244"/>
    </row>
    <row r="183" spans="1:9" ht="14.4" customHeight="1">
      <c r="A183" s="244"/>
      <c r="B183" s="244"/>
      <c r="C183" s="244"/>
      <c r="D183" s="244"/>
      <c r="E183" s="244"/>
      <c r="F183" s="244"/>
      <c r="G183" s="244"/>
      <c r="H183" s="244"/>
      <c r="I183" s="244"/>
    </row>
    <row r="184" spans="1:9" ht="14.4" customHeight="1">
      <c r="A184" s="244"/>
      <c r="B184" s="244"/>
      <c r="C184" s="244"/>
      <c r="D184" s="244"/>
      <c r="E184" s="244"/>
      <c r="F184" s="244"/>
      <c r="G184" s="244"/>
      <c r="H184" s="244"/>
      <c r="I184" s="244"/>
    </row>
    <row r="185" spans="1:9" ht="14.4" customHeight="1">
      <c r="A185" s="244"/>
      <c r="B185" s="244"/>
      <c r="C185" s="244"/>
      <c r="D185" s="244"/>
      <c r="E185" s="244"/>
      <c r="F185" s="244"/>
      <c r="G185" s="244"/>
      <c r="H185" s="244"/>
      <c r="I185" s="244"/>
    </row>
    <row r="186" spans="1:9" ht="14.4" customHeight="1">
      <c r="A186" s="244"/>
      <c r="B186" s="244"/>
      <c r="C186" s="244"/>
      <c r="D186" s="244"/>
      <c r="E186" s="244"/>
      <c r="F186" s="244"/>
      <c r="G186" s="244"/>
      <c r="H186" s="244"/>
      <c r="I186" s="244"/>
    </row>
    <row r="187" spans="1:9" ht="14.4" customHeight="1">
      <c r="A187" s="244"/>
      <c r="B187" s="244"/>
      <c r="C187" s="244"/>
      <c r="D187" s="244"/>
      <c r="E187" s="244"/>
      <c r="F187" s="244"/>
      <c r="G187" s="244"/>
      <c r="H187" s="244"/>
      <c r="I187" s="244"/>
    </row>
    <row r="188" spans="1:9" ht="14.4" customHeight="1">
      <c r="A188" s="244"/>
      <c r="B188" s="244"/>
      <c r="C188" s="244"/>
      <c r="D188" s="244"/>
      <c r="E188" s="244"/>
      <c r="F188" s="244"/>
      <c r="G188" s="244"/>
      <c r="H188" s="244"/>
      <c r="I188" s="244"/>
    </row>
    <row r="189" spans="1:9" ht="14.4" customHeight="1">
      <c r="A189" s="244"/>
      <c r="B189" s="244"/>
      <c r="C189" s="244"/>
      <c r="D189" s="244"/>
      <c r="E189" s="244"/>
      <c r="F189" s="244"/>
      <c r="G189" s="244"/>
      <c r="H189" s="244"/>
      <c r="I189" s="244"/>
    </row>
    <row r="190" spans="1:9" ht="14.4" customHeight="1">
      <c r="A190" s="244"/>
      <c r="B190" s="244"/>
      <c r="C190" s="244"/>
      <c r="D190" s="244"/>
      <c r="E190" s="244"/>
      <c r="F190" s="244"/>
      <c r="G190" s="244"/>
      <c r="H190" s="244"/>
      <c r="I190" s="244"/>
    </row>
    <row r="191" spans="1:9" ht="14.4" customHeight="1">
      <c r="A191" s="244"/>
      <c r="B191" s="244"/>
      <c r="C191" s="244"/>
      <c r="D191" s="244"/>
      <c r="E191" s="244"/>
      <c r="F191" s="244"/>
      <c r="G191" s="244"/>
      <c r="H191" s="244"/>
      <c r="I191" s="244"/>
    </row>
    <row r="192" spans="1:9" ht="14.4" customHeight="1">
      <c r="A192" s="244"/>
      <c r="B192" s="244"/>
      <c r="C192" s="244"/>
      <c r="D192" s="244"/>
      <c r="E192" s="244"/>
      <c r="F192" s="244"/>
      <c r="G192" s="244"/>
      <c r="H192" s="244"/>
      <c r="I192" s="244"/>
    </row>
    <row r="193" spans="1:9" ht="14.4" customHeight="1">
      <c r="A193" s="244"/>
      <c r="B193" s="244"/>
      <c r="C193" s="244"/>
      <c r="D193" s="244"/>
      <c r="E193" s="244"/>
      <c r="F193" s="244"/>
      <c r="G193" s="244"/>
      <c r="H193" s="244"/>
      <c r="I193" s="244"/>
    </row>
    <row r="194" spans="1:9" ht="14.4" customHeight="1">
      <c r="A194" s="244"/>
      <c r="B194" s="244"/>
      <c r="C194" s="244"/>
      <c r="D194" s="244"/>
      <c r="E194" s="244"/>
      <c r="F194" s="244"/>
      <c r="G194" s="244"/>
      <c r="H194" s="244"/>
      <c r="I194" s="244"/>
    </row>
    <row r="195" spans="1:9" ht="14.4" customHeight="1">
      <c r="A195" s="244"/>
      <c r="B195" s="244"/>
      <c r="C195" s="244"/>
      <c r="D195" s="244"/>
      <c r="E195" s="244"/>
      <c r="F195" s="244"/>
      <c r="G195" s="244"/>
      <c r="H195" s="244"/>
      <c r="I195" s="244"/>
    </row>
    <row r="196" spans="1:9" ht="14.4" customHeight="1">
      <c r="A196" s="244"/>
      <c r="B196" s="244"/>
      <c r="C196" s="244"/>
      <c r="D196" s="244"/>
      <c r="E196" s="244"/>
      <c r="F196" s="244"/>
      <c r="G196" s="244"/>
      <c r="H196" s="244"/>
      <c r="I196" s="244"/>
    </row>
    <row r="197" spans="1:9" ht="14.4" customHeight="1">
      <c r="A197" s="244"/>
      <c r="B197" s="244"/>
      <c r="C197" s="244"/>
      <c r="D197" s="244"/>
      <c r="E197" s="244"/>
      <c r="F197" s="244"/>
      <c r="G197" s="244"/>
      <c r="H197" s="244"/>
      <c r="I197" s="244"/>
    </row>
    <row r="198" spans="1:9" ht="14.4" customHeight="1">
      <c r="A198" s="244"/>
      <c r="B198" s="244"/>
      <c r="C198" s="244"/>
      <c r="D198" s="244"/>
      <c r="E198" s="244"/>
      <c r="F198" s="244"/>
      <c r="G198" s="244"/>
      <c r="H198" s="244"/>
      <c r="I198" s="244"/>
    </row>
    <row r="199" spans="1:9" ht="14.4" customHeight="1">
      <c r="A199" s="244"/>
      <c r="B199" s="244"/>
      <c r="C199" s="244"/>
      <c r="D199" s="244"/>
      <c r="E199" s="244"/>
      <c r="F199" s="244"/>
      <c r="G199" s="244"/>
      <c r="H199" s="244"/>
      <c r="I199" s="244"/>
    </row>
    <row r="200" spans="1:9" ht="14.4" customHeight="1">
      <c r="A200" s="244"/>
      <c r="B200" s="244"/>
      <c r="C200" s="244"/>
      <c r="D200" s="244"/>
      <c r="E200" s="244"/>
      <c r="F200" s="244"/>
      <c r="G200" s="244"/>
      <c r="H200" s="244"/>
      <c r="I200" s="244"/>
    </row>
    <row r="201" spans="1:9" ht="14.4" customHeight="1">
      <c r="A201" s="244"/>
      <c r="B201" s="244"/>
      <c r="C201" s="244"/>
      <c r="D201" s="244"/>
      <c r="E201" s="244"/>
      <c r="F201" s="244"/>
      <c r="G201" s="244"/>
      <c r="H201" s="244"/>
    </row>
    <row r="206" spans="1:9" ht="14.4" customHeight="1">
      <c r="A206" s="241" t="str">
        <f>UPPER('Sales Grid'!F7)</f>
        <v/>
      </c>
    </row>
    <row r="242" spans="1:1" ht="14.4" customHeight="1">
      <c r="A242" s="241" t="str">
        <f>UPPER('Sales Grid'!G7)</f>
        <v/>
      </c>
    </row>
  </sheetData>
  <sheetProtection formatColumns="0" formatRows="0"/>
  <mergeCells count="32">
    <mergeCell ref="A151:H151"/>
    <mergeCell ref="F175:H175"/>
    <mergeCell ref="A176:A177"/>
    <mergeCell ref="B176:B177"/>
    <mergeCell ref="C176:C177"/>
    <mergeCell ref="D176:D177"/>
    <mergeCell ref="E176:E177"/>
    <mergeCell ref="F176:H177"/>
    <mergeCell ref="A101:H101"/>
    <mergeCell ref="F125:H125"/>
    <mergeCell ref="A126:A127"/>
    <mergeCell ref="B126:B127"/>
    <mergeCell ref="C126:C127"/>
    <mergeCell ref="D126:D127"/>
    <mergeCell ref="E126:E127"/>
    <mergeCell ref="F126:H127"/>
    <mergeCell ref="A51:H51"/>
    <mergeCell ref="F75:H75"/>
    <mergeCell ref="A76:A77"/>
    <mergeCell ref="B76:B77"/>
    <mergeCell ref="C76:C77"/>
    <mergeCell ref="D76:D77"/>
    <mergeCell ref="E76:E77"/>
    <mergeCell ref="F76:H77"/>
    <mergeCell ref="A1:H1"/>
    <mergeCell ref="F25:H25"/>
    <mergeCell ref="A26:A27"/>
    <mergeCell ref="B26:B27"/>
    <mergeCell ref="C26:C27"/>
    <mergeCell ref="D26:D27"/>
    <mergeCell ref="E26:E27"/>
    <mergeCell ref="F26:H27"/>
  </mergeCells>
  <printOptions horizontalCentered="1"/>
  <pageMargins left="0.25" right="0.25" top="0.75" bottom="0.75" header="0.3" footer="0.3"/>
  <pageSetup scale="93" orientation="portrait" r:id="rId1"/>
  <headerFooter scaleWithDoc="0">
    <oddFooter>Page &amp;P of &amp;N</oddFooter>
  </headerFooter>
  <rowBreaks count="3" manualBreakCount="3">
    <brk id="50" max="7" man="1"/>
    <brk id="100" max="7" man="1"/>
    <brk id="150" max="7" man="1"/>
  </rowBreaks>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Button 1">
              <controlPr defaultSize="0" print="0" autoFill="0" autoPict="0" macro="[0]!InsertSatellite_Slot5">
                <anchor moveWithCells="1" sizeWithCells="1">
                  <from>
                    <xdr:col>8</xdr:col>
                    <xdr:colOff>609600</xdr:colOff>
                    <xdr:row>7</xdr:row>
                    <xdr:rowOff>175260</xdr:rowOff>
                  </from>
                  <to>
                    <xdr:col>10</xdr:col>
                    <xdr:colOff>274320</xdr:colOff>
                    <xdr:row>10</xdr:row>
                    <xdr:rowOff>175260</xdr:rowOff>
                  </to>
                </anchor>
              </controlPr>
            </control>
          </mc:Choice>
        </mc:AlternateContent>
        <mc:AlternateContent xmlns:mc="http://schemas.openxmlformats.org/markup-compatibility/2006">
          <mc:Choice Requires="x14">
            <control shapeId="232450" r:id="rId5" name="Button 2">
              <controlPr defaultSize="0" print="0" autoFill="0" autoPict="0" macro="[0]!PasteImage_Slot5">
                <anchor moveWithCells="1" sizeWithCells="1">
                  <from>
                    <xdr:col>11</xdr:col>
                    <xdr:colOff>342900</xdr:colOff>
                    <xdr:row>8</xdr:row>
                    <xdr:rowOff>0</xdr:rowOff>
                  </from>
                  <to>
                    <xdr:col>13</xdr:col>
                    <xdr:colOff>30480</xdr:colOff>
                    <xdr:row>10</xdr:row>
                    <xdr:rowOff>182880</xdr:rowOff>
                  </to>
                </anchor>
              </controlPr>
            </control>
          </mc:Choice>
        </mc:AlternateContent>
        <mc:AlternateContent xmlns:mc="http://schemas.openxmlformats.org/markup-compatibility/2006">
          <mc:Choice Requires="x14">
            <control shapeId="232451" r:id="rId6" name="Button 3">
              <controlPr defaultSize="0" print="0" autoFill="0" autoPict="0" macro="[0]!land_comp_map">
                <anchor moveWithCells="1" sizeWithCells="1">
                  <from>
                    <xdr:col>8</xdr:col>
                    <xdr:colOff>601980</xdr:colOff>
                    <xdr:row>11</xdr:row>
                    <xdr:rowOff>7620</xdr:rowOff>
                  </from>
                  <to>
                    <xdr:col>10</xdr:col>
                    <xdr:colOff>274320</xdr:colOff>
                    <xdr:row>14</xdr:row>
                    <xdr:rowOff>7620</xdr:rowOff>
                  </to>
                </anchor>
              </controlPr>
            </control>
          </mc:Choice>
        </mc:AlternateContent>
        <mc:AlternateContent xmlns:mc="http://schemas.openxmlformats.org/markup-compatibility/2006">
          <mc:Choice Requires="x14">
            <control shapeId="232452" r:id="rId7" name="Button 4">
              <controlPr defaultSize="0" print="0" autoFill="0" autoPict="0" macro="[0]!landsub_googappeal">
                <anchor moveWithCells="1" sizeWithCells="1">
                  <from>
                    <xdr:col>8</xdr:col>
                    <xdr:colOff>609600</xdr:colOff>
                    <xdr:row>4</xdr:row>
                    <xdr:rowOff>175260</xdr:rowOff>
                  </from>
                  <to>
                    <xdr:col>10</xdr:col>
                    <xdr:colOff>274320</xdr:colOff>
                    <xdr:row>7</xdr:row>
                    <xdr:rowOff>175260</xdr:rowOff>
                  </to>
                </anchor>
              </controlPr>
            </control>
          </mc:Choice>
        </mc:AlternateContent>
        <mc:AlternateContent xmlns:mc="http://schemas.openxmlformats.org/markup-compatibility/2006">
          <mc:Choice Requires="x14">
            <control shapeId="232453" r:id="rId8" name="Button 5">
              <controlPr defaultSize="0" print="0" autoFill="0" autoPict="0" macro="[0]!InsertSatellite_Slot7">
                <anchor moveWithCells="1" sizeWithCells="1">
                  <from>
                    <xdr:col>8</xdr:col>
                    <xdr:colOff>609600</xdr:colOff>
                    <xdr:row>57</xdr:row>
                    <xdr:rowOff>175260</xdr:rowOff>
                  </from>
                  <to>
                    <xdr:col>10</xdr:col>
                    <xdr:colOff>274320</xdr:colOff>
                    <xdr:row>60</xdr:row>
                    <xdr:rowOff>175260</xdr:rowOff>
                  </to>
                </anchor>
              </controlPr>
            </control>
          </mc:Choice>
        </mc:AlternateContent>
        <mc:AlternateContent xmlns:mc="http://schemas.openxmlformats.org/markup-compatibility/2006">
          <mc:Choice Requires="x14">
            <control shapeId="232454" r:id="rId9" name="Button 6">
              <controlPr defaultSize="0" print="0" autoFill="0" autoPict="0" macro="[0]!PasteImage_Slot7">
                <anchor moveWithCells="1" sizeWithCells="1">
                  <from>
                    <xdr:col>11</xdr:col>
                    <xdr:colOff>342900</xdr:colOff>
                    <xdr:row>58</xdr:row>
                    <xdr:rowOff>0</xdr:rowOff>
                  </from>
                  <to>
                    <xdr:col>13</xdr:col>
                    <xdr:colOff>30480</xdr:colOff>
                    <xdr:row>60</xdr:row>
                    <xdr:rowOff>182880</xdr:rowOff>
                  </to>
                </anchor>
              </controlPr>
            </control>
          </mc:Choice>
        </mc:AlternateContent>
        <mc:AlternateContent xmlns:mc="http://schemas.openxmlformats.org/markup-compatibility/2006">
          <mc:Choice Requires="x14">
            <control shapeId="232455" r:id="rId10" name="Button 7">
              <controlPr defaultSize="0" print="0" autoFill="0" autoPict="0" macro="[0]!land_sub_map">
                <anchor moveWithCells="1" sizeWithCells="1">
                  <from>
                    <xdr:col>8</xdr:col>
                    <xdr:colOff>601980</xdr:colOff>
                    <xdr:row>61</xdr:row>
                    <xdr:rowOff>7620</xdr:rowOff>
                  </from>
                  <to>
                    <xdr:col>10</xdr:col>
                    <xdr:colOff>274320</xdr:colOff>
                    <xdr:row>64</xdr:row>
                    <xdr:rowOff>7620</xdr:rowOff>
                  </to>
                </anchor>
              </controlPr>
            </control>
          </mc:Choice>
        </mc:AlternateContent>
        <mc:AlternateContent xmlns:mc="http://schemas.openxmlformats.org/markup-compatibility/2006">
          <mc:Choice Requires="x14">
            <control shapeId="232456" r:id="rId11" name="Button 8">
              <controlPr defaultSize="0" print="0" autoFill="0" autoPict="0" macro="[0]!landcomp2_googappeal">
                <anchor moveWithCells="1" sizeWithCells="1">
                  <from>
                    <xdr:col>8</xdr:col>
                    <xdr:colOff>609600</xdr:colOff>
                    <xdr:row>54</xdr:row>
                    <xdr:rowOff>175260</xdr:rowOff>
                  </from>
                  <to>
                    <xdr:col>10</xdr:col>
                    <xdr:colOff>274320</xdr:colOff>
                    <xdr:row>57</xdr:row>
                    <xdr:rowOff>175260</xdr:rowOff>
                  </to>
                </anchor>
              </controlPr>
            </control>
          </mc:Choice>
        </mc:AlternateContent>
        <mc:AlternateContent xmlns:mc="http://schemas.openxmlformats.org/markup-compatibility/2006">
          <mc:Choice Requires="x14">
            <control shapeId="232457" r:id="rId12" name="Button 9">
              <controlPr defaultSize="0" print="0" autoFill="0" autoPict="0" macro="[0]!InsertSatellite_Slot8">
                <anchor moveWithCells="1" sizeWithCells="1">
                  <from>
                    <xdr:col>8</xdr:col>
                    <xdr:colOff>609600</xdr:colOff>
                    <xdr:row>107</xdr:row>
                    <xdr:rowOff>175260</xdr:rowOff>
                  </from>
                  <to>
                    <xdr:col>10</xdr:col>
                    <xdr:colOff>274320</xdr:colOff>
                    <xdr:row>110</xdr:row>
                    <xdr:rowOff>175260</xdr:rowOff>
                  </to>
                </anchor>
              </controlPr>
            </control>
          </mc:Choice>
        </mc:AlternateContent>
        <mc:AlternateContent xmlns:mc="http://schemas.openxmlformats.org/markup-compatibility/2006">
          <mc:Choice Requires="x14">
            <control shapeId="232458" r:id="rId13" name="Button 10">
              <controlPr defaultSize="0" print="0" autoFill="0" autoPict="0" macro="[0]!PasteImage_Slot8">
                <anchor moveWithCells="1" sizeWithCells="1">
                  <from>
                    <xdr:col>11</xdr:col>
                    <xdr:colOff>342900</xdr:colOff>
                    <xdr:row>108</xdr:row>
                    <xdr:rowOff>0</xdr:rowOff>
                  </from>
                  <to>
                    <xdr:col>13</xdr:col>
                    <xdr:colOff>30480</xdr:colOff>
                    <xdr:row>110</xdr:row>
                    <xdr:rowOff>182880</xdr:rowOff>
                  </to>
                </anchor>
              </controlPr>
            </control>
          </mc:Choice>
        </mc:AlternateContent>
        <mc:AlternateContent xmlns:mc="http://schemas.openxmlformats.org/markup-compatibility/2006">
          <mc:Choice Requires="x14">
            <control shapeId="232459" r:id="rId14" name="Button 11">
              <controlPr defaultSize="0" print="0" autoFill="0" autoPict="0" macro="[0]!land_comp3_map">
                <anchor moveWithCells="1" sizeWithCells="1">
                  <from>
                    <xdr:col>8</xdr:col>
                    <xdr:colOff>601980</xdr:colOff>
                    <xdr:row>111</xdr:row>
                    <xdr:rowOff>7620</xdr:rowOff>
                  </from>
                  <to>
                    <xdr:col>10</xdr:col>
                    <xdr:colOff>274320</xdr:colOff>
                    <xdr:row>114</xdr:row>
                    <xdr:rowOff>7620</xdr:rowOff>
                  </to>
                </anchor>
              </controlPr>
            </control>
          </mc:Choice>
        </mc:AlternateContent>
        <mc:AlternateContent xmlns:mc="http://schemas.openxmlformats.org/markup-compatibility/2006">
          <mc:Choice Requires="x14">
            <control shapeId="232460" r:id="rId15" name="Button 12">
              <controlPr defaultSize="0" print="0" autoFill="0" autoPict="0" macro="[0]!landcomp3_googappeal">
                <anchor moveWithCells="1" sizeWithCells="1">
                  <from>
                    <xdr:col>8</xdr:col>
                    <xdr:colOff>609600</xdr:colOff>
                    <xdr:row>104</xdr:row>
                    <xdr:rowOff>175260</xdr:rowOff>
                  </from>
                  <to>
                    <xdr:col>10</xdr:col>
                    <xdr:colOff>274320</xdr:colOff>
                    <xdr:row>107</xdr:row>
                    <xdr:rowOff>175260</xdr:rowOff>
                  </to>
                </anchor>
              </controlPr>
            </control>
          </mc:Choice>
        </mc:AlternateContent>
        <mc:AlternateContent xmlns:mc="http://schemas.openxmlformats.org/markup-compatibility/2006">
          <mc:Choice Requires="x14">
            <control shapeId="232461" r:id="rId16" name="Button 13">
              <controlPr defaultSize="0" print="0" autoFill="0" autoPict="0" macro="[0]!InsertSatellite_Slot9">
                <anchor moveWithCells="1" sizeWithCells="1">
                  <from>
                    <xdr:col>8</xdr:col>
                    <xdr:colOff>609600</xdr:colOff>
                    <xdr:row>157</xdr:row>
                    <xdr:rowOff>175260</xdr:rowOff>
                  </from>
                  <to>
                    <xdr:col>10</xdr:col>
                    <xdr:colOff>274320</xdr:colOff>
                    <xdr:row>160</xdr:row>
                    <xdr:rowOff>175260</xdr:rowOff>
                  </to>
                </anchor>
              </controlPr>
            </control>
          </mc:Choice>
        </mc:AlternateContent>
        <mc:AlternateContent xmlns:mc="http://schemas.openxmlformats.org/markup-compatibility/2006">
          <mc:Choice Requires="x14">
            <control shapeId="232462" r:id="rId17" name="Button 14">
              <controlPr defaultSize="0" print="0" autoFill="0" autoPict="0" macro="[0]!PasteImage_Slot9">
                <anchor moveWithCells="1" sizeWithCells="1">
                  <from>
                    <xdr:col>11</xdr:col>
                    <xdr:colOff>342900</xdr:colOff>
                    <xdr:row>158</xdr:row>
                    <xdr:rowOff>0</xdr:rowOff>
                  </from>
                  <to>
                    <xdr:col>13</xdr:col>
                    <xdr:colOff>30480</xdr:colOff>
                    <xdr:row>160</xdr:row>
                    <xdr:rowOff>182880</xdr:rowOff>
                  </to>
                </anchor>
              </controlPr>
            </control>
          </mc:Choice>
        </mc:AlternateContent>
        <mc:AlternateContent xmlns:mc="http://schemas.openxmlformats.org/markup-compatibility/2006">
          <mc:Choice Requires="x14">
            <control shapeId="232463" r:id="rId18" name="Button 15">
              <controlPr defaultSize="0" print="0" autoFill="0" autoPict="0" macro="[0]!land_comp4_map">
                <anchor moveWithCells="1" sizeWithCells="1">
                  <from>
                    <xdr:col>8</xdr:col>
                    <xdr:colOff>601980</xdr:colOff>
                    <xdr:row>161</xdr:row>
                    <xdr:rowOff>7620</xdr:rowOff>
                  </from>
                  <to>
                    <xdr:col>10</xdr:col>
                    <xdr:colOff>274320</xdr:colOff>
                    <xdr:row>164</xdr:row>
                    <xdr:rowOff>7620</xdr:rowOff>
                  </to>
                </anchor>
              </controlPr>
            </control>
          </mc:Choice>
        </mc:AlternateContent>
        <mc:AlternateContent xmlns:mc="http://schemas.openxmlformats.org/markup-compatibility/2006">
          <mc:Choice Requires="x14">
            <control shapeId="232464" r:id="rId19" name="Button 16">
              <controlPr defaultSize="0" print="0" autoFill="0" autoPict="0" macro="[0]!landcomp4_googappeal">
                <anchor moveWithCells="1" sizeWithCells="1">
                  <from>
                    <xdr:col>8</xdr:col>
                    <xdr:colOff>609600</xdr:colOff>
                    <xdr:row>154</xdr:row>
                    <xdr:rowOff>175260</xdr:rowOff>
                  </from>
                  <to>
                    <xdr:col>10</xdr:col>
                    <xdr:colOff>274320</xdr:colOff>
                    <xdr:row>157</xdr:row>
                    <xdr:rowOff>175260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3D7805-C52C-4D7F-873E-296EE42FE229}">
  <sheetPr codeName="Sheet30">
    <pageSetUpPr fitToPage="1"/>
  </sheetPr>
  <dimension ref="A1:Z55"/>
  <sheetViews>
    <sheetView showGridLines="0" topLeftCell="A32" zoomScale="145" zoomScaleNormal="145" workbookViewId="0">
      <selection activeCell="N27" sqref="N27:P27"/>
    </sheetView>
  </sheetViews>
  <sheetFormatPr defaultRowHeight="13.2"/>
  <cols>
    <col min="1" max="2" width="3.6640625" style="543" customWidth="1"/>
    <col min="3" max="3" width="10.109375" style="543" bestFit="1" customWidth="1"/>
    <col min="4" max="4" width="11.33203125" style="547" bestFit="1" customWidth="1"/>
    <col min="5" max="5" width="1.6640625" style="547" customWidth="1"/>
    <col min="6" max="6" width="11.44140625" style="547" bestFit="1" customWidth="1"/>
    <col min="7" max="7" width="2.6640625" style="547" customWidth="1"/>
    <col min="8" max="8" width="5.6640625" style="547" customWidth="1"/>
    <col min="9" max="9" width="1.6640625" style="547" customWidth="1"/>
    <col min="10" max="10" width="11.44140625" style="547" bestFit="1" customWidth="1"/>
    <col min="11" max="11" width="2.6640625" style="547" customWidth="1"/>
    <col min="12" max="12" width="5.6640625" style="547" customWidth="1"/>
    <col min="13" max="13" width="1.6640625" style="547" customWidth="1"/>
    <col min="14" max="14" width="11.44140625" style="547" bestFit="1" customWidth="1"/>
    <col min="15" max="15" width="2.6640625" style="547" customWidth="1"/>
    <col min="16" max="16" width="5.6640625" style="547" customWidth="1"/>
    <col min="17" max="17" width="1.6640625" style="543" customWidth="1"/>
    <col min="18" max="18" width="7.44140625" style="543" customWidth="1"/>
    <col min="19" max="19" width="6.33203125" style="543" customWidth="1"/>
    <col min="20" max="20" width="7.109375" style="543" bestFit="1" customWidth="1"/>
    <col min="21" max="21" width="9.33203125" style="543" bestFit="1" customWidth="1"/>
    <col min="22" max="22" width="1.6640625" style="543" customWidth="1"/>
    <col min="23" max="23" width="12.33203125" style="543" bestFit="1" customWidth="1"/>
    <col min="24" max="256" width="9.109375" style="543"/>
    <col min="257" max="258" width="3.6640625" style="543" customWidth="1"/>
    <col min="259" max="259" width="10.109375" style="543" bestFit="1" customWidth="1"/>
    <col min="260" max="260" width="11.33203125" style="543" bestFit="1" customWidth="1"/>
    <col min="261" max="261" width="1.6640625" style="543" customWidth="1"/>
    <col min="262" max="262" width="11.44140625" style="543" bestFit="1" customWidth="1"/>
    <col min="263" max="263" width="2.6640625" style="543" customWidth="1"/>
    <col min="264" max="264" width="5.6640625" style="543" customWidth="1"/>
    <col min="265" max="265" width="1.6640625" style="543" customWidth="1"/>
    <col min="266" max="266" width="11.44140625" style="543" bestFit="1" customWidth="1"/>
    <col min="267" max="267" width="2.6640625" style="543" customWidth="1"/>
    <col min="268" max="268" width="5.6640625" style="543" customWidth="1"/>
    <col min="269" max="269" width="1.6640625" style="543" customWidth="1"/>
    <col min="270" max="270" width="11.44140625" style="543" bestFit="1" customWidth="1"/>
    <col min="271" max="271" width="2.6640625" style="543" customWidth="1"/>
    <col min="272" max="272" width="5.6640625" style="543" customWidth="1"/>
    <col min="273" max="273" width="1.6640625" style="543" customWidth="1"/>
    <col min="274" max="274" width="7.44140625" style="543" customWidth="1"/>
    <col min="275" max="275" width="6.33203125" style="543" customWidth="1"/>
    <col min="276" max="276" width="7.109375" style="543" bestFit="1" customWidth="1"/>
    <col min="277" max="277" width="9.33203125" style="543" bestFit="1" customWidth="1"/>
    <col min="278" max="278" width="1.6640625" style="543" customWidth="1"/>
    <col min="279" max="279" width="12.33203125" style="543" bestFit="1" customWidth="1"/>
    <col min="280" max="512" width="9.109375" style="543"/>
    <col min="513" max="514" width="3.6640625" style="543" customWidth="1"/>
    <col min="515" max="515" width="10.109375" style="543" bestFit="1" customWidth="1"/>
    <col min="516" max="516" width="11.33203125" style="543" bestFit="1" customWidth="1"/>
    <col min="517" max="517" width="1.6640625" style="543" customWidth="1"/>
    <col min="518" max="518" width="11.44140625" style="543" bestFit="1" customWidth="1"/>
    <col min="519" max="519" width="2.6640625" style="543" customWidth="1"/>
    <col min="520" max="520" width="5.6640625" style="543" customWidth="1"/>
    <col min="521" max="521" width="1.6640625" style="543" customWidth="1"/>
    <col min="522" max="522" width="11.44140625" style="543" bestFit="1" customWidth="1"/>
    <col min="523" max="523" width="2.6640625" style="543" customWidth="1"/>
    <col min="524" max="524" width="5.6640625" style="543" customWidth="1"/>
    <col min="525" max="525" width="1.6640625" style="543" customWidth="1"/>
    <col min="526" max="526" width="11.44140625" style="543" bestFit="1" customWidth="1"/>
    <col min="527" max="527" width="2.6640625" style="543" customWidth="1"/>
    <col min="528" max="528" width="5.6640625" style="543" customWidth="1"/>
    <col min="529" max="529" width="1.6640625" style="543" customWidth="1"/>
    <col min="530" max="530" width="7.44140625" style="543" customWidth="1"/>
    <col min="531" max="531" width="6.33203125" style="543" customWidth="1"/>
    <col min="532" max="532" width="7.109375" style="543" bestFit="1" customWidth="1"/>
    <col min="533" max="533" width="9.33203125" style="543" bestFit="1" customWidth="1"/>
    <col min="534" max="534" width="1.6640625" style="543" customWidth="1"/>
    <col min="535" max="535" width="12.33203125" style="543" bestFit="1" customWidth="1"/>
    <col min="536" max="768" width="9.109375" style="543"/>
    <col min="769" max="770" width="3.6640625" style="543" customWidth="1"/>
    <col min="771" max="771" width="10.109375" style="543" bestFit="1" customWidth="1"/>
    <col min="772" max="772" width="11.33203125" style="543" bestFit="1" customWidth="1"/>
    <col min="773" max="773" width="1.6640625" style="543" customWidth="1"/>
    <col min="774" max="774" width="11.44140625" style="543" bestFit="1" customWidth="1"/>
    <col min="775" max="775" width="2.6640625" style="543" customWidth="1"/>
    <col min="776" max="776" width="5.6640625" style="543" customWidth="1"/>
    <col min="777" max="777" width="1.6640625" style="543" customWidth="1"/>
    <col min="778" max="778" width="11.44140625" style="543" bestFit="1" customWidth="1"/>
    <col min="779" max="779" width="2.6640625" style="543" customWidth="1"/>
    <col min="780" max="780" width="5.6640625" style="543" customWidth="1"/>
    <col min="781" max="781" width="1.6640625" style="543" customWidth="1"/>
    <col min="782" max="782" width="11.44140625" style="543" bestFit="1" customWidth="1"/>
    <col min="783" max="783" width="2.6640625" style="543" customWidth="1"/>
    <col min="784" max="784" width="5.6640625" style="543" customWidth="1"/>
    <col min="785" max="785" width="1.6640625" style="543" customWidth="1"/>
    <col min="786" max="786" width="7.44140625" style="543" customWidth="1"/>
    <col min="787" max="787" width="6.33203125" style="543" customWidth="1"/>
    <col min="788" max="788" width="7.109375" style="543" bestFit="1" customWidth="1"/>
    <col min="789" max="789" width="9.33203125" style="543" bestFit="1" customWidth="1"/>
    <col min="790" max="790" width="1.6640625" style="543" customWidth="1"/>
    <col min="791" max="791" width="12.33203125" style="543" bestFit="1" customWidth="1"/>
    <col min="792" max="1024" width="9.109375" style="543"/>
    <col min="1025" max="1026" width="3.6640625" style="543" customWidth="1"/>
    <col min="1027" max="1027" width="10.109375" style="543" bestFit="1" customWidth="1"/>
    <col min="1028" max="1028" width="11.33203125" style="543" bestFit="1" customWidth="1"/>
    <col min="1029" max="1029" width="1.6640625" style="543" customWidth="1"/>
    <col min="1030" max="1030" width="11.44140625" style="543" bestFit="1" customWidth="1"/>
    <col min="1031" max="1031" width="2.6640625" style="543" customWidth="1"/>
    <col min="1032" max="1032" width="5.6640625" style="543" customWidth="1"/>
    <col min="1033" max="1033" width="1.6640625" style="543" customWidth="1"/>
    <col min="1034" max="1034" width="11.44140625" style="543" bestFit="1" customWidth="1"/>
    <col min="1035" max="1035" width="2.6640625" style="543" customWidth="1"/>
    <col min="1036" max="1036" width="5.6640625" style="543" customWidth="1"/>
    <col min="1037" max="1037" width="1.6640625" style="543" customWidth="1"/>
    <col min="1038" max="1038" width="11.44140625" style="543" bestFit="1" customWidth="1"/>
    <col min="1039" max="1039" width="2.6640625" style="543" customWidth="1"/>
    <col min="1040" max="1040" width="5.6640625" style="543" customWidth="1"/>
    <col min="1041" max="1041" width="1.6640625" style="543" customWidth="1"/>
    <col min="1042" max="1042" width="7.44140625" style="543" customWidth="1"/>
    <col min="1043" max="1043" width="6.33203125" style="543" customWidth="1"/>
    <col min="1044" max="1044" width="7.109375" style="543" bestFit="1" customWidth="1"/>
    <col min="1045" max="1045" width="9.33203125" style="543" bestFit="1" customWidth="1"/>
    <col min="1046" max="1046" width="1.6640625" style="543" customWidth="1"/>
    <col min="1047" max="1047" width="12.33203125" style="543" bestFit="1" customWidth="1"/>
    <col min="1048" max="1280" width="9.109375" style="543"/>
    <col min="1281" max="1282" width="3.6640625" style="543" customWidth="1"/>
    <col min="1283" max="1283" width="10.109375" style="543" bestFit="1" customWidth="1"/>
    <col min="1284" max="1284" width="11.33203125" style="543" bestFit="1" customWidth="1"/>
    <col min="1285" max="1285" width="1.6640625" style="543" customWidth="1"/>
    <col min="1286" max="1286" width="11.44140625" style="543" bestFit="1" customWidth="1"/>
    <col min="1287" max="1287" width="2.6640625" style="543" customWidth="1"/>
    <col min="1288" max="1288" width="5.6640625" style="543" customWidth="1"/>
    <col min="1289" max="1289" width="1.6640625" style="543" customWidth="1"/>
    <col min="1290" max="1290" width="11.44140625" style="543" bestFit="1" customWidth="1"/>
    <col min="1291" max="1291" width="2.6640625" style="543" customWidth="1"/>
    <col min="1292" max="1292" width="5.6640625" style="543" customWidth="1"/>
    <col min="1293" max="1293" width="1.6640625" style="543" customWidth="1"/>
    <col min="1294" max="1294" width="11.44140625" style="543" bestFit="1" customWidth="1"/>
    <col min="1295" max="1295" width="2.6640625" style="543" customWidth="1"/>
    <col min="1296" max="1296" width="5.6640625" style="543" customWidth="1"/>
    <col min="1297" max="1297" width="1.6640625" style="543" customWidth="1"/>
    <col min="1298" max="1298" width="7.44140625" style="543" customWidth="1"/>
    <col min="1299" max="1299" width="6.33203125" style="543" customWidth="1"/>
    <col min="1300" max="1300" width="7.109375" style="543" bestFit="1" customWidth="1"/>
    <col min="1301" max="1301" width="9.33203125" style="543" bestFit="1" customWidth="1"/>
    <col min="1302" max="1302" width="1.6640625" style="543" customWidth="1"/>
    <col min="1303" max="1303" width="12.33203125" style="543" bestFit="1" customWidth="1"/>
    <col min="1304" max="1536" width="9.109375" style="543"/>
    <col min="1537" max="1538" width="3.6640625" style="543" customWidth="1"/>
    <col min="1539" max="1539" width="10.109375" style="543" bestFit="1" customWidth="1"/>
    <col min="1540" max="1540" width="11.33203125" style="543" bestFit="1" customWidth="1"/>
    <col min="1541" max="1541" width="1.6640625" style="543" customWidth="1"/>
    <col min="1542" max="1542" width="11.44140625" style="543" bestFit="1" customWidth="1"/>
    <col min="1543" max="1543" width="2.6640625" style="543" customWidth="1"/>
    <col min="1544" max="1544" width="5.6640625" style="543" customWidth="1"/>
    <col min="1545" max="1545" width="1.6640625" style="543" customWidth="1"/>
    <col min="1546" max="1546" width="11.44140625" style="543" bestFit="1" customWidth="1"/>
    <col min="1547" max="1547" width="2.6640625" style="543" customWidth="1"/>
    <col min="1548" max="1548" width="5.6640625" style="543" customWidth="1"/>
    <col min="1549" max="1549" width="1.6640625" style="543" customWidth="1"/>
    <col min="1550" max="1550" width="11.44140625" style="543" bestFit="1" customWidth="1"/>
    <col min="1551" max="1551" width="2.6640625" style="543" customWidth="1"/>
    <col min="1552" max="1552" width="5.6640625" style="543" customWidth="1"/>
    <col min="1553" max="1553" width="1.6640625" style="543" customWidth="1"/>
    <col min="1554" max="1554" width="7.44140625" style="543" customWidth="1"/>
    <col min="1555" max="1555" width="6.33203125" style="543" customWidth="1"/>
    <col min="1556" max="1556" width="7.109375" style="543" bestFit="1" customWidth="1"/>
    <col min="1557" max="1557" width="9.33203125" style="543" bestFit="1" customWidth="1"/>
    <col min="1558" max="1558" width="1.6640625" style="543" customWidth="1"/>
    <col min="1559" max="1559" width="12.33203125" style="543" bestFit="1" customWidth="1"/>
    <col min="1560" max="1792" width="9.109375" style="543"/>
    <col min="1793" max="1794" width="3.6640625" style="543" customWidth="1"/>
    <col min="1795" max="1795" width="10.109375" style="543" bestFit="1" customWidth="1"/>
    <col min="1796" max="1796" width="11.33203125" style="543" bestFit="1" customWidth="1"/>
    <col min="1797" max="1797" width="1.6640625" style="543" customWidth="1"/>
    <col min="1798" max="1798" width="11.44140625" style="543" bestFit="1" customWidth="1"/>
    <col min="1799" max="1799" width="2.6640625" style="543" customWidth="1"/>
    <col min="1800" max="1800" width="5.6640625" style="543" customWidth="1"/>
    <col min="1801" max="1801" width="1.6640625" style="543" customWidth="1"/>
    <col min="1802" max="1802" width="11.44140625" style="543" bestFit="1" customWidth="1"/>
    <col min="1803" max="1803" width="2.6640625" style="543" customWidth="1"/>
    <col min="1804" max="1804" width="5.6640625" style="543" customWidth="1"/>
    <col min="1805" max="1805" width="1.6640625" style="543" customWidth="1"/>
    <col min="1806" max="1806" width="11.44140625" style="543" bestFit="1" customWidth="1"/>
    <col min="1807" max="1807" width="2.6640625" style="543" customWidth="1"/>
    <col min="1808" max="1808" width="5.6640625" style="543" customWidth="1"/>
    <col min="1809" max="1809" width="1.6640625" style="543" customWidth="1"/>
    <col min="1810" max="1810" width="7.44140625" style="543" customWidth="1"/>
    <col min="1811" max="1811" width="6.33203125" style="543" customWidth="1"/>
    <col min="1812" max="1812" width="7.109375" style="543" bestFit="1" customWidth="1"/>
    <col min="1813" max="1813" width="9.33203125" style="543" bestFit="1" customWidth="1"/>
    <col min="1814" max="1814" width="1.6640625" style="543" customWidth="1"/>
    <col min="1815" max="1815" width="12.33203125" style="543" bestFit="1" customWidth="1"/>
    <col min="1816" max="2048" width="9.109375" style="543"/>
    <col min="2049" max="2050" width="3.6640625" style="543" customWidth="1"/>
    <col min="2051" max="2051" width="10.109375" style="543" bestFit="1" customWidth="1"/>
    <col min="2052" max="2052" width="11.33203125" style="543" bestFit="1" customWidth="1"/>
    <col min="2053" max="2053" width="1.6640625" style="543" customWidth="1"/>
    <col min="2054" max="2054" width="11.44140625" style="543" bestFit="1" customWidth="1"/>
    <col min="2055" max="2055" width="2.6640625" style="543" customWidth="1"/>
    <col min="2056" max="2056" width="5.6640625" style="543" customWidth="1"/>
    <col min="2057" max="2057" width="1.6640625" style="543" customWidth="1"/>
    <col min="2058" max="2058" width="11.44140625" style="543" bestFit="1" customWidth="1"/>
    <col min="2059" max="2059" width="2.6640625" style="543" customWidth="1"/>
    <col min="2060" max="2060" width="5.6640625" style="543" customWidth="1"/>
    <col min="2061" max="2061" width="1.6640625" style="543" customWidth="1"/>
    <col min="2062" max="2062" width="11.44140625" style="543" bestFit="1" customWidth="1"/>
    <col min="2063" max="2063" width="2.6640625" style="543" customWidth="1"/>
    <col min="2064" max="2064" width="5.6640625" style="543" customWidth="1"/>
    <col min="2065" max="2065" width="1.6640625" style="543" customWidth="1"/>
    <col min="2066" max="2066" width="7.44140625" style="543" customWidth="1"/>
    <col min="2067" max="2067" width="6.33203125" style="543" customWidth="1"/>
    <col min="2068" max="2068" width="7.109375" style="543" bestFit="1" customWidth="1"/>
    <col min="2069" max="2069" width="9.33203125" style="543" bestFit="1" customWidth="1"/>
    <col min="2070" max="2070" width="1.6640625" style="543" customWidth="1"/>
    <col min="2071" max="2071" width="12.33203125" style="543" bestFit="1" customWidth="1"/>
    <col min="2072" max="2304" width="9.109375" style="543"/>
    <col min="2305" max="2306" width="3.6640625" style="543" customWidth="1"/>
    <col min="2307" max="2307" width="10.109375" style="543" bestFit="1" customWidth="1"/>
    <col min="2308" max="2308" width="11.33203125" style="543" bestFit="1" customWidth="1"/>
    <col min="2309" max="2309" width="1.6640625" style="543" customWidth="1"/>
    <col min="2310" max="2310" width="11.44140625" style="543" bestFit="1" customWidth="1"/>
    <col min="2311" max="2311" width="2.6640625" style="543" customWidth="1"/>
    <col min="2312" max="2312" width="5.6640625" style="543" customWidth="1"/>
    <col min="2313" max="2313" width="1.6640625" style="543" customWidth="1"/>
    <col min="2314" max="2314" width="11.44140625" style="543" bestFit="1" customWidth="1"/>
    <col min="2315" max="2315" width="2.6640625" style="543" customWidth="1"/>
    <col min="2316" max="2316" width="5.6640625" style="543" customWidth="1"/>
    <col min="2317" max="2317" width="1.6640625" style="543" customWidth="1"/>
    <col min="2318" max="2318" width="11.44140625" style="543" bestFit="1" customWidth="1"/>
    <col min="2319" max="2319" width="2.6640625" style="543" customWidth="1"/>
    <col min="2320" max="2320" width="5.6640625" style="543" customWidth="1"/>
    <col min="2321" max="2321" width="1.6640625" style="543" customWidth="1"/>
    <col min="2322" max="2322" width="7.44140625" style="543" customWidth="1"/>
    <col min="2323" max="2323" width="6.33203125" style="543" customWidth="1"/>
    <col min="2324" max="2324" width="7.109375" style="543" bestFit="1" customWidth="1"/>
    <col min="2325" max="2325" width="9.33203125" style="543" bestFit="1" customWidth="1"/>
    <col min="2326" max="2326" width="1.6640625" style="543" customWidth="1"/>
    <col min="2327" max="2327" width="12.33203125" style="543" bestFit="1" customWidth="1"/>
    <col min="2328" max="2560" width="9.109375" style="543"/>
    <col min="2561" max="2562" width="3.6640625" style="543" customWidth="1"/>
    <col min="2563" max="2563" width="10.109375" style="543" bestFit="1" customWidth="1"/>
    <col min="2564" max="2564" width="11.33203125" style="543" bestFit="1" customWidth="1"/>
    <col min="2565" max="2565" width="1.6640625" style="543" customWidth="1"/>
    <col min="2566" max="2566" width="11.44140625" style="543" bestFit="1" customWidth="1"/>
    <col min="2567" max="2567" width="2.6640625" style="543" customWidth="1"/>
    <col min="2568" max="2568" width="5.6640625" style="543" customWidth="1"/>
    <col min="2569" max="2569" width="1.6640625" style="543" customWidth="1"/>
    <col min="2570" max="2570" width="11.44140625" style="543" bestFit="1" customWidth="1"/>
    <col min="2571" max="2571" width="2.6640625" style="543" customWidth="1"/>
    <col min="2572" max="2572" width="5.6640625" style="543" customWidth="1"/>
    <col min="2573" max="2573" width="1.6640625" style="543" customWidth="1"/>
    <col min="2574" max="2574" width="11.44140625" style="543" bestFit="1" customWidth="1"/>
    <col min="2575" max="2575" width="2.6640625" style="543" customWidth="1"/>
    <col min="2576" max="2576" width="5.6640625" style="543" customWidth="1"/>
    <col min="2577" max="2577" width="1.6640625" style="543" customWidth="1"/>
    <col min="2578" max="2578" width="7.44140625" style="543" customWidth="1"/>
    <col min="2579" max="2579" width="6.33203125" style="543" customWidth="1"/>
    <col min="2580" max="2580" width="7.109375" style="543" bestFit="1" customWidth="1"/>
    <col min="2581" max="2581" width="9.33203125" style="543" bestFit="1" customWidth="1"/>
    <col min="2582" max="2582" width="1.6640625" style="543" customWidth="1"/>
    <col min="2583" max="2583" width="12.33203125" style="543" bestFit="1" customWidth="1"/>
    <col min="2584" max="2816" width="9.109375" style="543"/>
    <col min="2817" max="2818" width="3.6640625" style="543" customWidth="1"/>
    <col min="2819" max="2819" width="10.109375" style="543" bestFit="1" customWidth="1"/>
    <col min="2820" max="2820" width="11.33203125" style="543" bestFit="1" customWidth="1"/>
    <col min="2821" max="2821" width="1.6640625" style="543" customWidth="1"/>
    <col min="2822" max="2822" width="11.44140625" style="543" bestFit="1" customWidth="1"/>
    <col min="2823" max="2823" width="2.6640625" style="543" customWidth="1"/>
    <col min="2824" max="2824" width="5.6640625" style="543" customWidth="1"/>
    <col min="2825" max="2825" width="1.6640625" style="543" customWidth="1"/>
    <col min="2826" max="2826" width="11.44140625" style="543" bestFit="1" customWidth="1"/>
    <col min="2827" max="2827" width="2.6640625" style="543" customWidth="1"/>
    <col min="2828" max="2828" width="5.6640625" style="543" customWidth="1"/>
    <col min="2829" max="2829" width="1.6640625" style="543" customWidth="1"/>
    <col min="2830" max="2830" width="11.44140625" style="543" bestFit="1" customWidth="1"/>
    <col min="2831" max="2831" width="2.6640625" style="543" customWidth="1"/>
    <col min="2832" max="2832" width="5.6640625" style="543" customWidth="1"/>
    <col min="2833" max="2833" width="1.6640625" style="543" customWidth="1"/>
    <col min="2834" max="2834" width="7.44140625" style="543" customWidth="1"/>
    <col min="2835" max="2835" width="6.33203125" style="543" customWidth="1"/>
    <col min="2836" max="2836" width="7.109375" style="543" bestFit="1" customWidth="1"/>
    <col min="2837" max="2837" width="9.33203125" style="543" bestFit="1" customWidth="1"/>
    <col min="2838" max="2838" width="1.6640625" style="543" customWidth="1"/>
    <col min="2839" max="2839" width="12.33203125" style="543" bestFit="1" customWidth="1"/>
    <col min="2840" max="3072" width="9.109375" style="543"/>
    <col min="3073" max="3074" width="3.6640625" style="543" customWidth="1"/>
    <col min="3075" max="3075" width="10.109375" style="543" bestFit="1" customWidth="1"/>
    <col min="3076" max="3076" width="11.33203125" style="543" bestFit="1" customWidth="1"/>
    <col min="3077" max="3077" width="1.6640625" style="543" customWidth="1"/>
    <col min="3078" max="3078" width="11.44140625" style="543" bestFit="1" customWidth="1"/>
    <col min="3079" max="3079" width="2.6640625" style="543" customWidth="1"/>
    <col min="3080" max="3080" width="5.6640625" style="543" customWidth="1"/>
    <col min="3081" max="3081" width="1.6640625" style="543" customWidth="1"/>
    <col min="3082" max="3082" width="11.44140625" style="543" bestFit="1" customWidth="1"/>
    <col min="3083" max="3083" width="2.6640625" style="543" customWidth="1"/>
    <col min="3084" max="3084" width="5.6640625" style="543" customWidth="1"/>
    <col min="3085" max="3085" width="1.6640625" style="543" customWidth="1"/>
    <col min="3086" max="3086" width="11.44140625" style="543" bestFit="1" customWidth="1"/>
    <col min="3087" max="3087" width="2.6640625" style="543" customWidth="1"/>
    <col min="3088" max="3088" width="5.6640625" style="543" customWidth="1"/>
    <col min="3089" max="3089" width="1.6640625" style="543" customWidth="1"/>
    <col min="3090" max="3090" width="7.44140625" style="543" customWidth="1"/>
    <col min="3091" max="3091" width="6.33203125" style="543" customWidth="1"/>
    <col min="3092" max="3092" width="7.109375" style="543" bestFit="1" customWidth="1"/>
    <col min="3093" max="3093" width="9.33203125" style="543" bestFit="1" customWidth="1"/>
    <col min="3094" max="3094" width="1.6640625" style="543" customWidth="1"/>
    <col min="3095" max="3095" width="12.33203125" style="543" bestFit="1" customWidth="1"/>
    <col min="3096" max="3328" width="9.109375" style="543"/>
    <col min="3329" max="3330" width="3.6640625" style="543" customWidth="1"/>
    <col min="3331" max="3331" width="10.109375" style="543" bestFit="1" customWidth="1"/>
    <col min="3332" max="3332" width="11.33203125" style="543" bestFit="1" customWidth="1"/>
    <col min="3333" max="3333" width="1.6640625" style="543" customWidth="1"/>
    <col min="3334" max="3334" width="11.44140625" style="543" bestFit="1" customWidth="1"/>
    <col min="3335" max="3335" width="2.6640625" style="543" customWidth="1"/>
    <col min="3336" max="3336" width="5.6640625" style="543" customWidth="1"/>
    <col min="3337" max="3337" width="1.6640625" style="543" customWidth="1"/>
    <col min="3338" max="3338" width="11.44140625" style="543" bestFit="1" customWidth="1"/>
    <col min="3339" max="3339" width="2.6640625" style="543" customWidth="1"/>
    <col min="3340" max="3340" width="5.6640625" style="543" customWidth="1"/>
    <col min="3341" max="3341" width="1.6640625" style="543" customWidth="1"/>
    <col min="3342" max="3342" width="11.44140625" style="543" bestFit="1" customWidth="1"/>
    <col min="3343" max="3343" width="2.6640625" style="543" customWidth="1"/>
    <col min="3344" max="3344" width="5.6640625" style="543" customWidth="1"/>
    <col min="3345" max="3345" width="1.6640625" style="543" customWidth="1"/>
    <col min="3346" max="3346" width="7.44140625" style="543" customWidth="1"/>
    <col min="3347" max="3347" width="6.33203125" style="543" customWidth="1"/>
    <col min="3348" max="3348" width="7.109375" style="543" bestFit="1" customWidth="1"/>
    <col min="3349" max="3349" width="9.33203125" style="543" bestFit="1" customWidth="1"/>
    <col min="3350" max="3350" width="1.6640625" style="543" customWidth="1"/>
    <col min="3351" max="3351" width="12.33203125" style="543" bestFit="1" customWidth="1"/>
    <col min="3352" max="3584" width="9.109375" style="543"/>
    <col min="3585" max="3586" width="3.6640625" style="543" customWidth="1"/>
    <col min="3587" max="3587" width="10.109375" style="543" bestFit="1" customWidth="1"/>
    <col min="3588" max="3588" width="11.33203125" style="543" bestFit="1" customWidth="1"/>
    <col min="3589" max="3589" width="1.6640625" style="543" customWidth="1"/>
    <col min="3590" max="3590" width="11.44140625" style="543" bestFit="1" customWidth="1"/>
    <col min="3591" max="3591" width="2.6640625" style="543" customWidth="1"/>
    <col min="3592" max="3592" width="5.6640625" style="543" customWidth="1"/>
    <col min="3593" max="3593" width="1.6640625" style="543" customWidth="1"/>
    <col min="3594" max="3594" width="11.44140625" style="543" bestFit="1" customWidth="1"/>
    <col min="3595" max="3595" width="2.6640625" style="543" customWidth="1"/>
    <col min="3596" max="3596" width="5.6640625" style="543" customWidth="1"/>
    <col min="3597" max="3597" width="1.6640625" style="543" customWidth="1"/>
    <col min="3598" max="3598" width="11.44140625" style="543" bestFit="1" customWidth="1"/>
    <col min="3599" max="3599" width="2.6640625" style="543" customWidth="1"/>
    <col min="3600" max="3600" width="5.6640625" style="543" customWidth="1"/>
    <col min="3601" max="3601" width="1.6640625" style="543" customWidth="1"/>
    <col min="3602" max="3602" width="7.44140625" style="543" customWidth="1"/>
    <col min="3603" max="3603" width="6.33203125" style="543" customWidth="1"/>
    <col min="3604" max="3604" width="7.109375" style="543" bestFit="1" customWidth="1"/>
    <col min="3605" max="3605" width="9.33203125" style="543" bestFit="1" customWidth="1"/>
    <col min="3606" max="3606" width="1.6640625" style="543" customWidth="1"/>
    <col min="3607" max="3607" width="12.33203125" style="543" bestFit="1" customWidth="1"/>
    <col min="3608" max="3840" width="9.109375" style="543"/>
    <col min="3841" max="3842" width="3.6640625" style="543" customWidth="1"/>
    <col min="3843" max="3843" width="10.109375" style="543" bestFit="1" customWidth="1"/>
    <col min="3844" max="3844" width="11.33203125" style="543" bestFit="1" customWidth="1"/>
    <col min="3845" max="3845" width="1.6640625" style="543" customWidth="1"/>
    <col min="3846" max="3846" width="11.44140625" style="543" bestFit="1" customWidth="1"/>
    <col min="3847" max="3847" width="2.6640625" style="543" customWidth="1"/>
    <col min="3848" max="3848" width="5.6640625" style="543" customWidth="1"/>
    <col min="3849" max="3849" width="1.6640625" style="543" customWidth="1"/>
    <col min="3850" max="3850" width="11.44140625" style="543" bestFit="1" customWidth="1"/>
    <col min="3851" max="3851" width="2.6640625" style="543" customWidth="1"/>
    <col min="3852" max="3852" width="5.6640625" style="543" customWidth="1"/>
    <col min="3853" max="3853" width="1.6640625" style="543" customWidth="1"/>
    <col min="3854" max="3854" width="11.44140625" style="543" bestFit="1" customWidth="1"/>
    <col min="3855" max="3855" width="2.6640625" style="543" customWidth="1"/>
    <col min="3856" max="3856" width="5.6640625" style="543" customWidth="1"/>
    <col min="3857" max="3857" width="1.6640625" style="543" customWidth="1"/>
    <col min="3858" max="3858" width="7.44140625" style="543" customWidth="1"/>
    <col min="3859" max="3859" width="6.33203125" style="543" customWidth="1"/>
    <col min="3860" max="3860" width="7.109375" style="543" bestFit="1" customWidth="1"/>
    <col min="3861" max="3861" width="9.33203125" style="543" bestFit="1" customWidth="1"/>
    <col min="3862" max="3862" width="1.6640625" style="543" customWidth="1"/>
    <col min="3863" max="3863" width="12.33203125" style="543" bestFit="1" customWidth="1"/>
    <col min="3864" max="4096" width="9.109375" style="543"/>
    <col min="4097" max="4098" width="3.6640625" style="543" customWidth="1"/>
    <col min="4099" max="4099" width="10.109375" style="543" bestFit="1" customWidth="1"/>
    <col min="4100" max="4100" width="11.33203125" style="543" bestFit="1" customWidth="1"/>
    <col min="4101" max="4101" width="1.6640625" style="543" customWidth="1"/>
    <col min="4102" max="4102" width="11.44140625" style="543" bestFit="1" customWidth="1"/>
    <col min="4103" max="4103" width="2.6640625" style="543" customWidth="1"/>
    <col min="4104" max="4104" width="5.6640625" style="543" customWidth="1"/>
    <col min="4105" max="4105" width="1.6640625" style="543" customWidth="1"/>
    <col min="4106" max="4106" width="11.44140625" style="543" bestFit="1" customWidth="1"/>
    <col min="4107" max="4107" width="2.6640625" style="543" customWidth="1"/>
    <col min="4108" max="4108" width="5.6640625" style="543" customWidth="1"/>
    <col min="4109" max="4109" width="1.6640625" style="543" customWidth="1"/>
    <col min="4110" max="4110" width="11.44140625" style="543" bestFit="1" customWidth="1"/>
    <col min="4111" max="4111" width="2.6640625" style="543" customWidth="1"/>
    <col min="4112" max="4112" width="5.6640625" style="543" customWidth="1"/>
    <col min="4113" max="4113" width="1.6640625" style="543" customWidth="1"/>
    <col min="4114" max="4114" width="7.44140625" style="543" customWidth="1"/>
    <col min="4115" max="4115" width="6.33203125" style="543" customWidth="1"/>
    <col min="4116" max="4116" width="7.109375" style="543" bestFit="1" customWidth="1"/>
    <col min="4117" max="4117" width="9.33203125" style="543" bestFit="1" customWidth="1"/>
    <col min="4118" max="4118" width="1.6640625" style="543" customWidth="1"/>
    <col min="4119" max="4119" width="12.33203125" style="543" bestFit="1" customWidth="1"/>
    <col min="4120" max="4352" width="9.109375" style="543"/>
    <col min="4353" max="4354" width="3.6640625" style="543" customWidth="1"/>
    <col min="4355" max="4355" width="10.109375" style="543" bestFit="1" customWidth="1"/>
    <col min="4356" max="4356" width="11.33203125" style="543" bestFit="1" customWidth="1"/>
    <col min="4357" max="4357" width="1.6640625" style="543" customWidth="1"/>
    <col min="4358" max="4358" width="11.44140625" style="543" bestFit="1" customWidth="1"/>
    <col min="4359" max="4359" width="2.6640625" style="543" customWidth="1"/>
    <col min="4360" max="4360" width="5.6640625" style="543" customWidth="1"/>
    <col min="4361" max="4361" width="1.6640625" style="543" customWidth="1"/>
    <col min="4362" max="4362" width="11.44140625" style="543" bestFit="1" customWidth="1"/>
    <col min="4363" max="4363" width="2.6640625" style="543" customWidth="1"/>
    <col min="4364" max="4364" width="5.6640625" style="543" customWidth="1"/>
    <col min="4365" max="4365" width="1.6640625" style="543" customWidth="1"/>
    <col min="4366" max="4366" width="11.44140625" style="543" bestFit="1" customWidth="1"/>
    <col min="4367" max="4367" width="2.6640625" style="543" customWidth="1"/>
    <col min="4368" max="4368" width="5.6640625" style="543" customWidth="1"/>
    <col min="4369" max="4369" width="1.6640625" style="543" customWidth="1"/>
    <col min="4370" max="4370" width="7.44140625" style="543" customWidth="1"/>
    <col min="4371" max="4371" width="6.33203125" style="543" customWidth="1"/>
    <col min="4372" max="4372" width="7.109375" style="543" bestFit="1" customWidth="1"/>
    <col min="4373" max="4373" width="9.33203125" style="543" bestFit="1" customWidth="1"/>
    <col min="4374" max="4374" width="1.6640625" style="543" customWidth="1"/>
    <col min="4375" max="4375" width="12.33203125" style="543" bestFit="1" customWidth="1"/>
    <col min="4376" max="4608" width="9.109375" style="543"/>
    <col min="4609" max="4610" width="3.6640625" style="543" customWidth="1"/>
    <col min="4611" max="4611" width="10.109375" style="543" bestFit="1" customWidth="1"/>
    <col min="4612" max="4612" width="11.33203125" style="543" bestFit="1" customWidth="1"/>
    <col min="4613" max="4613" width="1.6640625" style="543" customWidth="1"/>
    <col min="4614" max="4614" width="11.44140625" style="543" bestFit="1" customWidth="1"/>
    <col min="4615" max="4615" width="2.6640625" style="543" customWidth="1"/>
    <col min="4616" max="4616" width="5.6640625" style="543" customWidth="1"/>
    <col min="4617" max="4617" width="1.6640625" style="543" customWidth="1"/>
    <col min="4618" max="4618" width="11.44140625" style="543" bestFit="1" customWidth="1"/>
    <col min="4619" max="4619" width="2.6640625" style="543" customWidth="1"/>
    <col min="4620" max="4620" width="5.6640625" style="543" customWidth="1"/>
    <col min="4621" max="4621" width="1.6640625" style="543" customWidth="1"/>
    <col min="4622" max="4622" width="11.44140625" style="543" bestFit="1" customWidth="1"/>
    <col min="4623" max="4623" width="2.6640625" style="543" customWidth="1"/>
    <col min="4624" max="4624" width="5.6640625" style="543" customWidth="1"/>
    <col min="4625" max="4625" width="1.6640625" style="543" customWidth="1"/>
    <col min="4626" max="4626" width="7.44140625" style="543" customWidth="1"/>
    <col min="4627" max="4627" width="6.33203125" style="543" customWidth="1"/>
    <col min="4628" max="4628" width="7.109375" style="543" bestFit="1" customWidth="1"/>
    <col min="4629" max="4629" width="9.33203125" style="543" bestFit="1" customWidth="1"/>
    <col min="4630" max="4630" width="1.6640625" style="543" customWidth="1"/>
    <col min="4631" max="4631" width="12.33203125" style="543" bestFit="1" customWidth="1"/>
    <col min="4632" max="4864" width="9.109375" style="543"/>
    <col min="4865" max="4866" width="3.6640625" style="543" customWidth="1"/>
    <col min="4867" max="4867" width="10.109375" style="543" bestFit="1" customWidth="1"/>
    <col min="4868" max="4868" width="11.33203125" style="543" bestFit="1" customWidth="1"/>
    <col min="4869" max="4869" width="1.6640625" style="543" customWidth="1"/>
    <col min="4870" max="4870" width="11.44140625" style="543" bestFit="1" customWidth="1"/>
    <col min="4871" max="4871" width="2.6640625" style="543" customWidth="1"/>
    <col min="4872" max="4872" width="5.6640625" style="543" customWidth="1"/>
    <col min="4873" max="4873" width="1.6640625" style="543" customWidth="1"/>
    <col min="4874" max="4874" width="11.44140625" style="543" bestFit="1" customWidth="1"/>
    <col min="4875" max="4875" width="2.6640625" style="543" customWidth="1"/>
    <col min="4876" max="4876" width="5.6640625" style="543" customWidth="1"/>
    <col min="4877" max="4877" width="1.6640625" style="543" customWidth="1"/>
    <col min="4878" max="4878" width="11.44140625" style="543" bestFit="1" customWidth="1"/>
    <col min="4879" max="4879" width="2.6640625" style="543" customWidth="1"/>
    <col min="4880" max="4880" width="5.6640625" style="543" customWidth="1"/>
    <col min="4881" max="4881" width="1.6640625" style="543" customWidth="1"/>
    <col min="4882" max="4882" width="7.44140625" style="543" customWidth="1"/>
    <col min="4883" max="4883" width="6.33203125" style="543" customWidth="1"/>
    <col min="4884" max="4884" width="7.109375" style="543" bestFit="1" customWidth="1"/>
    <col min="4885" max="4885" width="9.33203125" style="543" bestFit="1" customWidth="1"/>
    <col min="4886" max="4886" width="1.6640625" style="543" customWidth="1"/>
    <col min="4887" max="4887" width="12.33203125" style="543" bestFit="1" customWidth="1"/>
    <col min="4888" max="5120" width="9.109375" style="543"/>
    <col min="5121" max="5122" width="3.6640625" style="543" customWidth="1"/>
    <col min="5123" max="5123" width="10.109375" style="543" bestFit="1" customWidth="1"/>
    <col min="5124" max="5124" width="11.33203125" style="543" bestFit="1" customWidth="1"/>
    <col min="5125" max="5125" width="1.6640625" style="543" customWidth="1"/>
    <col min="5126" max="5126" width="11.44140625" style="543" bestFit="1" customWidth="1"/>
    <col min="5127" max="5127" width="2.6640625" style="543" customWidth="1"/>
    <col min="5128" max="5128" width="5.6640625" style="543" customWidth="1"/>
    <col min="5129" max="5129" width="1.6640625" style="543" customWidth="1"/>
    <col min="5130" max="5130" width="11.44140625" style="543" bestFit="1" customWidth="1"/>
    <col min="5131" max="5131" width="2.6640625" style="543" customWidth="1"/>
    <col min="5132" max="5132" width="5.6640625" style="543" customWidth="1"/>
    <col min="5133" max="5133" width="1.6640625" style="543" customWidth="1"/>
    <col min="5134" max="5134" width="11.44140625" style="543" bestFit="1" customWidth="1"/>
    <col min="5135" max="5135" width="2.6640625" style="543" customWidth="1"/>
    <col min="5136" max="5136" width="5.6640625" style="543" customWidth="1"/>
    <col min="5137" max="5137" width="1.6640625" style="543" customWidth="1"/>
    <col min="5138" max="5138" width="7.44140625" style="543" customWidth="1"/>
    <col min="5139" max="5139" width="6.33203125" style="543" customWidth="1"/>
    <col min="5140" max="5140" width="7.109375" style="543" bestFit="1" customWidth="1"/>
    <col min="5141" max="5141" width="9.33203125" style="543" bestFit="1" customWidth="1"/>
    <col min="5142" max="5142" width="1.6640625" style="543" customWidth="1"/>
    <col min="5143" max="5143" width="12.33203125" style="543" bestFit="1" customWidth="1"/>
    <col min="5144" max="5376" width="9.109375" style="543"/>
    <col min="5377" max="5378" width="3.6640625" style="543" customWidth="1"/>
    <col min="5379" max="5379" width="10.109375" style="543" bestFit="1" customWidth="1"/>
    <col min="5380" max="5380" width="11.33203125" style="543" bestFit="1" customWidth="1"/>
    <col min="5381" max="5381" width="1.6640625" style="543" customWidth="1"/>
    <col min="5382" max="5382" width="11.44140625" style="543" bestFit="1" customWidth="1"/>
    <col min="5383" max="5383" width="2.6640625" style="543" customWidth="1"/>
    <col min="5384" max="5384" width="5.6640625" style="543" customWidth="1"/>
    <col min="5385" max="5385" width="1.6640625" style="543" customWidth="1"/>
    <col min="5386" max="5386" width="11.44140625" style="543" bestFit="1" customWidth="1"/>
    <col min="5387" max="5387" width="2.6640625" style="543" customWidth="1"/>
    <col min="5388" max="5388" width="5.6640625" style="543" customWidth="1"/>
    <col min="5389" max="5389" width="1.6640625" style="543" customWidth="1"/>
    <col min="5390" max="5390" width="11.44140625" style="543" bestFit="1" customWidth="1"/>
    <col min="5391" max="5391" width="2.6640625" style="543" customWidth="1"/>
    <col min="5392" max="5392" width="5.6640625" style="543" customWidth="1"/>
    <col min="5393" max="5393" width="1.6640625" style="543" customWidth="1"/>
    <col min="5394" max="5394" width="7.44140625" style="543" customWidth="1"/>
    <col min="5395" max="5395" width="6.33203125" style="543" customWidth="1"/>
    <col min="5396" max="5396" width="7.109375" style="543" bestFit="1" customWidth="1"/>
    <col min="5397" max="5397" width="9.33203125" style="543" bestFit="1" customWidth="1"/>
    <col min="5398" max="5398" width="1.6640625" style="543" customWidth="1"/>
    <col min="5399" max="5399" width="12.33203125" style="543" bestFit="1" customWidth="1"/>
    <col min="5400" max="5632" width="9.109375" style="543"/>
    <col min="5633" max="5634" width="3.6640625" style="543" customWidth="1"/>
    <col min="5635" max="5635" width="10.109375" style="543" bestFit="1" customWidth="1"/>
    <col min="5636" max="5636" width="11.33203125" style="543" bestFit="1" customWidth="1"/>
    <col min="5637" max="5637" width="1.6640625" style="543" customWidth="1"/>
    <col min="5638" max="5638" width="11.44140625" style="543" bestFit="1" customWidth="1"/>
    <col min="5639" max="5639" width="2.6640625" style="543" customWidth="1"/>
    <col min="5640" max="5640" width="5.6640625" style="543" customWidth="1"/>
    <col min="5641" max="5641" width="1.6640625" style="543" customWidth="1"/>
    <col min="5642" max="5642" width="11.44140625" style="543" bestFit="1" customWidth="1"/>
    <col min="5643" max="5643" width="2.6640625" style="543" customWidth="1"/>
    <col min="5644" max="5644" width="5.6640625" style="543" customWidth="1"/>
    <col min="5645" max="5645" width="1.6640625" style="543" customWidth="1"/>
    <col min="5646" max="5646" width="11.44140625" style="543" bestFit="1" customWidth="1"/>
    <col min="5647" max="5647" width="2.6640625" style="543" customWidth="1"/>
    <col min="5648" max="5648" width="5.6640625" style="543" customWidth="1"/>
    <col min="5649" max="5649" width="1.6640625" style="543" customWidth="1"/>
    <col min="5650" max="5650" width="7.44140625" style="543" customWidth="1"/>
    <col min="5651" max="5651" width="6.33203125" style="543" customWidth="1"/>
    <col min="5652" max="5652" width="7.109375" style="543" bestFit="1" customWidth="1"/>
    <col min="5653" max="5653" width="9.33203125" style="543" bestFit="1" customWidth="1"/>
    <col min="5654" max="5654" width="1.6640625" style="543" customWidth="1"/>
    <col min="5655" max="5655" width="12.33203125" style="543" bestFit="1" customWidth="1"/>
    <col min="5656" max="5888" width="9.109375" style="543"/>
    <col min="5889" max="5890" width="3.6640625" style="543" customWidth="1"/>
    <col min="5891" max="5891" width="10.109375" style="543" bestFit="1" customWidth="1"/>
    <col min="5892" max="5892" width="11.33203125" style="543" bestFit="1" customWidth="1"/>
    <col min="5893" max="5893" width="1.6640625" style="543" customWidth="1"/>
    <col min="5894" max="5894" width="11.44140625" style="543" bestFit="1" customWidth="1"/>
    <col min="5895" max="5895" width="2.6640625" style="543" customWidth="1"/>
    <col min="5896" max="5896" width="5.6640625" style="543" customWidth="1"/>
    <col min="5897" max="5897" width="1.6640625" style="543" customWidth="1"/>
    <col min="5898" max="5898" width="11.44140625" style="543" bestFit="1" customWidth="1"/>
    <col min="5899" max="5899" width="2.6640625" style="543" customWidth="1"/>
    <col min="5900" max="5900" width="5.6640625" style="543" customWidth="1"/>
    <col min="5901" max="5901" width="1.6640625" style="543" customWidth="1"/>
    <col min="5902" max="5902" width="11.44140625" style="543" bestFit="1" customWidth="1"/>
    <col min="5903" max="5903" width="2.6640625" style="543" customWidth="1"/>
    <col min="5904" max="5904" width="5.6640625" style="543" customWidth="1"/>
    <col min="5905" max="5905" width="1.6640625" style="543" customWidth="1"/>
    <col min="5906" max="5906" width="7.44140625" style="543" customWidth="1"/>
    <col min="5907" max="5907" width="6.33203125" style="543" customWidth="1"/>
    <col min="5908" max="5908" width="7.109375" style="543" bestFit="1" customWidth="1"/>
    <col min="5909" max="5909" width="9.33203125" style="543" bestFit="1" customWidth="1"/>
    <col min="5910" max="5910" width="1.6640625" style="543" customWidth="1"/>
    <col min="5911" max="5911" width="12.33203125" style="543" bestFit="1" customWidth="1"/>
    <col min="5912" max="6144" width="9.109375" style="543"/>
    <col min="6145" max="6146" width="3.6640625" style="543" customWidth="1"/>
    <col min="6147" max="6147" width="10.109375" style="543" bestFit="1" customWidth="1"/>
    <col min="6148" max="6148" width="11.33203125" style="543" bestFit="1" customWidth="1"/>
    <col min="6149" max="6149" width="1.6640625" style="543" customWidth="1"/>
    <col min="6150" max="6150" width="11.44140625" style="543" bestFit="1" customWidth="1"/>
    <col min="6151" max="6151" width="2.6640625" style="543" customWidth="1"/>
    <col min="6152" max="6152" width="5.6640625" style="543" customWidth="1"/>
    <col min="6153" max="6153" width="1.6640625" style="543" customWidth="1"/>
    <col min="6154" max="6154" width="11.44140625" style="543" bestFit="1" customWidth="1"/>
    <col min="6155" max="6155" width="2.6640625" style="543" customWidth="1"/>
    <col min="6156" max="6156" width="5.6640625" style="543" customWidth="1"/>
    <col min="6157" max="6157" width="1.6640625" style="543" customWidth="1"/>
    <col min="6158" max="6158" width="11.44140625" style="543" bestFit="1" customWidth="1"/>
    <col min="6159" max="6159" width="2.6640625" style="543" customWidth="1"/>
    <col min="6160" max="6160" width="5.6640625" style="543" customWidth="1"/>
    <col min="6161" max="6161" width="1.6640625" style="543" customWidth="1"/>
    <col min="6162" max="6162" width="7.44140625" style="543" customWidth="1"/>
    <col min="6163" max="6163" width="6.33203125" style="543" customWidth="1"/>
    <col min="6164" max="6164" width="7.109375" style="543" bestFit="1" customWidth="1"/>
    <col min="6165" max="6165" width="9.33203125" style="543" bestFit="1" customWidth="1"/>
    <col min="6166" max="6166" width="1.6640625" style="543" customWidth="1"/>
    <col min="6167" max="6167" width="12.33203125" style="543" bestFit="1" customWidth="1"/>
    <col min="6168" max="6400" width="9.109375" style="543"/>
    <col min="6401" max="6402" width="3.6640625" style="543" customWidth="1"/>
    <col min="6403" max="6403" width="10.109375" style="543" bestFit="1" customWidth="1"/>
    <col min="6404" max="6404" width="11.33203125" style="543" bestFit="1" customWidth="1"/>
    <col min="6405" max="6405" width="1.6640625" style="543" customWidth="1"/>
    <col min="6406" max="6406" width="11.44140625" style="543" bestFit="1" customWidth="1"/>
    <col min="6407" max="6407" width="2.6640625" style="543" customWidth="1"/>
    <col min="6408" max="6408" width="5.6640625" style="543" customWidth="1"/>
    <col min="6409" max="6409" width="1.6640625" style="543" customWidth="1"/>
    <col min="6410" max="6410" width="11.44140625" style="543" bestFit="1" customWidth="1"/>
    <col min="6411" max="6411" width="2.6640625" style="543" customWidth="1"/>
    <col min="6412" max="6412" width="5.6640625" style="543" customWidth="1"/>
    <col min="6413" max="6413" width="1.6640625" style="543" customWidth="1"/>
    <col min="6414" max="6414" width="11.44140625" style="543" bestFit="1" customWidth="1"/>
    <col min="6415" max="6415" width="2.6640625" style="543" customWidth="1"/>
    <col min="6416" max="6416" width="5.6640625" style="543" customWidth="1"/>
    <col min="6417" max="6417" width="1.6640625" style="543" customWidth="1"/>
    <col min="6418" max="6418" width="7.44140625" style="543" customWidth="1"/>
    <col min="6419" max="6419" width="6.33203125" style="543" customWidth="1"/>
    <col min="6420" max="6420" width="7.109375" style="543" bestFit="1" customWidth="1"/>
    <col min="6421" max="6421" width="9.33203125" style="543" bestFit="1" customWidth="1"/>
    <col min="6422" max="6422" width="1.6640625" style="543" customWidth="1"/>
    <col min="6423" max="6423" width="12.33203125" style="543" bestFit="1" customWidth="1"/>
    <col min="6424" max="6656" width="9.109375" style="543"/>
    <col min="6657" max="6658" width="3.6640625" style="543" customWidth="1"/>
    <col min="6659" max="6659" width="10.109375" style="543" bestFit="1" customWidth="1"/>
    <col min="6660" max="6660" width="11.33203125" style="543" bestFit="1" customWidth="1"/>
    <col min="6661" max="6661" width="1.6640625" style="543" customWidth="1"/>
    <col min="6662" max="6662" width="11.44140625" style="543" bestFit="1" customWidth="1"/>
    <col min="6663" max="6663" width="2.6640625" style="543" customWidth="1"/>
    <col min="6664" max="6664" width="5.6640625" style="543" customWidth="1"/>
    <col min="6665" max="6665" width="1.6640625" style="543" customWidth="1"/>
    <col min="6666" max="6666" width="11.44140625" style="543" bestFit="1" customWidth="1"/>
    <col min="6667" max="6667" width="2.6640625" style="543" customWidth="1"/>
    <col min="6668" max="6668" width="5.6640625" style="543" customWidth="1"/>
    <col min="6669" max="6669" width="1.6640625" style="543" customWidth="1"/>
    <col min="6670" max="6670" width="11.44140625" style="543" bestFit="1" customWidth="1"/>
    <col min="6671" max="6671" width="2.6640625" style="543" customWidth="1"/>
    <col min="6672" max="6672" width="5.6640625" style="543" customWidth="1"/>
    <col min="6673" max="6673" width="1.6640625" style="543" customWidth="1"/>
    <col min="6674" max="6674" width="7.44140625" style="543" customWidth="1"/>
    <col min="6675" max="6675" width="6.33203125" style="543" customWidth="1"/>
    <col min="6676" max="6676" width="7.109375" style="543" bestFit="1" customWidth="1"/>
    <col min="6677" max="6677" width="9.33203125" style="543" bestFit="1" customWidth="1"/>
    <col min="6678" max="6678" width="1.6640625" style="543" customWidth="1"/>
    <col min="6679" max="6679" width="12.33203125" style="543" bestFit="1" customWidth="1"/>
    <col min="6680" max="6912" width="9.109375" style="543"/>
    <col min="6913" max="6914" width="3.6640625" style="543" customWidth="1"/>
    <col min="6915" max="6915" width="10.109375" style="543" bestFit="1" customWidth="1"/>
    <col min="6916" max="6916" width="11.33203125" style="543" bestFit="1" customWidth="1"/>
    <col min="6917" max="6917" width="1.6640625" style="543" customWidth="1"/>
    <col min="6918" max="6918" width="11.44140625" style="543" bestFit="1" customWidth="1"/>
    <col min="6919" max="6919" width="2.6640625" style="543" customWidth="1"/>
    <col min="6920" max="6920" width="5.6640625" style="543" customWidth="1"/>
    <col min="6921" max="6921" width="1.6640625" style="543" customWidth="1"/>
    <col min="6922" max="6922" width="11.44140625" style="543" bestFit="1" customWidth="1"/>
    <col min="6923" max="6923" width="2.6640625" style="543" customWidth="1"/>
    <col min="6924" max="6924" width="5.6640625" style="543" customWidth="1"/>
    <col min="6925" max="6925" width="1.6640625" style="543" customWidth="1"/>
    <col min="6926" max="6926" width="11.44140625" style="543" bestFit="1" customWidth="1"/>
    <col min="6927" max="6927" width="2.6640625" style="543" customWidth="1"/>
    <col min="6928" max="6928" width="5.6640625" style="543" customWidth="1"/>
    <col min="6929" max="6929" width="1.6640625" style="543" customWidth="1"/>
    <col min="6930" max="6930" width="7.44140625" style="543" customWidth="1"/>
    <col min="6931" max="6931" width="6.33203125" style="543" customWidth="1"/>
    <col min="6932" max="6932" width="7.109375" style="543" bestFit="1" customWidth="1"/>
    <col min="6933" max="6933" width="9.33203125" style="543" bestFit="1" customWidth="1"/>
    <col min="6934" max="6934" width="1.6640625" style="543" customWidth="1"/>
    <col min="6935" max="6935" width="12.33203125" style="543" bestFit="1" customWidth="1"/>
    <col min="6936" max="7168" width="9.109375" style="543"/>
    <col min="7169" max="7170" width="3.6640625" style="543" customWidth="1"/>
    <col min="7171" max="7171" width="10.109375" style="543" bestFit="1" customWidth="1"/>
    <col min="7172" max="7172" width="11.33203125" style="543" bestFit="1" customWidth="1"/>
    <col min="7173" max="7173" width="1.6640625" style="543" customWidth="1"/>
    <col min="7174" max="7174" width="11.44140625" style="543" bestFit="1" customWidth="1"/>
    <col min="7175" max="7175" width="2.6640625" style="543" customWidth="1"/>
    <col min="7176" max="7176" width="5.6640625" style="543" customWidth="1"/>
    <col min="7177" max="7177" width="1.6640625" style="543" customWidth="1"/>
    <col min="7178" max="7178" width="11.44140625" style="543" bestFit="1" customWidth="1"/>
    <col min="7179" max="7179" width="2.6640625" style="543" customWidth="1"/>
    <col min="7180" max="7180" width="5.6640625" style="543" customWidth="1"/>
    <col min="7181" max="7181" width="1.6640625" style="543" customWidth="1"/>
    <col min="7182" max="7182" width="11.44140625" style="543" bestFit="1" customWidth="1"/>
    <col min="7183" max="7183" width="2.6640625" style="543" customWidth="1"/>
    <col min="7184" max="7184" width="5.6640625" style="543" customWidth="1"/>
    <col min="7185" max="7185" width="1.6640625" style="543" customWidth="1"/>
    <col min="7186" max="7186" width="7.44140625" style="543" customWidth="1"/>
    <col min="7187" max="7187" width="6.33203125" style="543" customWidth="1"/>
    <col min="7188" max="7188" width="7.109375" style="543" bestFit="1" customWidth="1"/>
    <col min="7189" max="7189" width="9.33203125" style="543" bestFit="1" customWidth="1"/>
    <col min="7190" max="7190" width="1.6640625" style="543" customWidth="1"/>
    <col min="7191" max="7191" width="12.33203125" style="543" bestFit="1" customWidth="1"/>
    <col min="7192" max="7424" width="9.109375" style="543"/>
    <col min="7425" max="7426" width="3.6640625" style="543" customWidth="1"/>
    <col min="7427" max="7427" width="10.109375" style="543" bestFit="1" customWidth="1"/>
    <col min="7428" max="7428" width="11.33203125" style="543" bestFit="1" customWidth="1"/>
    <col min="7429" max="7429" width="1.6640625" style="543" customWidth="1"/>
    <col min="7430" max="7430" width="11.44140625" style="543" bestFit="1" customWidth="1"/>
    <col min="7431" max="7431" width="2.6640625" style="543" customWidth="1"/>
    <col min="7432" max="7432" width="5.6640625" style="543" customWidth="1"/>
    <col min="7433" max="7433" width="1.6640625" style="543" customWidth="1"/>
    <col min="7434" max="7434" width="11.44140625" style="543" bestFit="1" customWidth="1"/>
    <col min="7435" max="7435" width="2.6640625" style="543" customWidth="1"/>
    <col min="7436" max="7436" width="5.6640625" style="543" customWidth="1"/>
    <col min="7437" max="7437" width="1.6640625" style="543" customWidth="1"/>
    <col min="7438" max="7438" width="11.44140625" style="543" bestFit="1" customWidth="1"/>
    <col min="7439" max="7439" width="2.6640625" style="543" customWidth="1"/>
    <col min="7440" max="7440" width="5.6640625" style="543" customWidth="1"/>
    <col min="7441" max="7441" width="1.6640625" style="543" customWidth="1"/>
    <col min="7442" max="7442" width="7.44140625" style="543" customWidth="1"/>
    <col min="7443" max="7443" width="6.33203125" style="543" customWidth="1"/>
    <col min="7444" max="7444" width="7.109375" style="543" bestFit="1" customWidth="1"/>
    <col min="7445" max="7445" width="9.33203125" style="543" bestFit="1" customWidth="1"/>
    <col min="7446" max="7446" width="1.6640625" style="543" customWidth="1"/>
    <col min="7447" max="7447" width="12.33203125" style="543" bestFit="1" customWidth="1"/>
    <col min="7448" max="7680" width="9.109375" style="543"/>
    <col min="7681" max="7682" width="3.6640625" style="543" customWidth="1"/>
    <col min="7683" max="7683" width="10.109375" style="543" bestFit="1" customWidth="1"/>
    <col min="7684" max="7684" width="11.33203125" style="543" bestFit="1" customWidth="1"/>
    <col min="7685" max="7685" width="1.6640625" style="543" customWidth="1"/>
    <col min="7686" max="7686" width="11.44140625" style="543" bestFit="1" customWidth="1"/>
    <col min="7687" max="7687" width="2.6640625" style="543" customWidth="1"/>
    <col min="7688" max="7688" width="5.6640625" style="543" customWidth="1"/>
    <col min="7689" max="7689" width="1.6640625" style="543" customWidth="1"/>
    <col min="7690" max="7690" width="11.44140625" style="543" bestFit="1" customWidth="1"/>
    <col min="7691" max="7691" width="2.6640625" style="543" customWidth="1"/>
    <col min="7692" max="7692" width="5.6640625" style="543" customWidth="1"/>
    <col min="7693" max="7693" width="1.6640625" style="543" customWidth="1"/>
    <col min="7694" max="7694" width="11.44140625" style="543" bestFit="1" customWidth="1"/>
    <col min="7695" max="7695" width="2.6640625" style="543" customWidth="1"/>
    <col min="7696" max="7696" width="5.6640625" style="543" customWidth="1"/>
    <col min="7697" max="7697" width="1.6640625" style="543" customWidth="1"/>
    <col min="7698" max="7698" width="7.44140625" style="543" customWidth="1"/>
    <col min="7699" max="7699" width="6.33203125" style="543" customWidth="1"/>
    <col min="7700" max="7700" width="7.109375" style="543" bestFit="1" customWidth="1"/>
    <col min="7701" max="7701" width="9.33203125" style="543" bestFit="1" customWidth="1"/>
    <col min="7702" max="7702" width="1.6640625" style="543" customWidth="1"/>
    <col min="7703" max="7703" width="12.33203125" style="543" bestFit="1" customWidth="1"/>
    <col min="7704" max="7936" width="9.109375" style="543"/>
    <col min="7937" max="7938" width="3.6640625" style="543" customWidth="1"/>
    <col min="7939" max="7939" width="10.109375" style="543" bestFit="1" customWidth="1"/>
    <col min="7940" max="7940" width="11.33203125" style="543" bestFit="1" customWidth="1"/>
    <col min="7941" max="7941" width="1.6640625" style="543" customWidth="1"/>
    <col min="7942" max="7942" width="11.44140625" style="543" bestFit="1" customWidth="1"/>
    <col min="7943" max="7943" width="2.6640625" style="543" customWidth="1"/>
    <col min="7944" max="7944" width="5.6640625" style="543" customWidth="1"/>
    <col min="7945" max="7945" width="1.6640625" style="543" customWidth="1"/>
    <col min="7946" max="7946" width="11.44140625" style="543" bestFit="1" customWidth="1"/>
    <col min="7947" max="7947" width="2.6640625" style="543" customWidth="1"/>
    <col min="7948" max="7948" width="5.6640625" style="543" customWidth="1"/>
    <col min="7949" max="7949" width="1.6640625" style="543" customWidth="1"/>
    <col min="7950" max="7950" width="11.44140625" style="543" bestFit="1" customWidth="1"/>
    <col min="7951" max="7951" width="2.6640625" style="543" customWidth="1"/>
    <col min="7952" max="7952" width="5.6640625" style="543" customWidth="1"/>
    <col min="7953" max="7953" width="1.6640625" style="543" customWidth="1"/>
    <col min="7954" max="7954" width="7.44140625" style="543" customWidth="1"/>
    <col min="7955" max="7955" width="6.33203125" style="543" customWidth="1"/>
    <col min="7956" max="7956" width="7.109375" style="543" bestFit="1" customWidth="1"/>
    <col min="7957" max="7957" width="9.33203125" style="543" bestFit="1" customWidth="1"/>
    <col min="7958" max="7958" width="1.6640625" style="543" customWidth="1"/>
    <col min="7959" max="7959" width="12.33203125" style="543" bestFit="1" customWidth="1"/>
    <col min="7960" max="8192" width="9.109375" style="543"/>
    <col min="8193" max="8194" width="3.6640625" style="543" customWidth="1"/>
    <col min="8195" max="8195" width="10.109375" style="543" bestFit="1" customWidth="1"/>
    <col min="8196" max="8196" width="11.33203125" style="543" bestFit="1" customWidth="1"/>
    <col min="8197" max="8197" width="1.6640625" style="543" customWidth="1"/>
    <col min="8198" max="8198" width="11.44140625" style="543" bestFit="1" customWidth="1"/>
    <col min="8199" max="8199" width="2.6640625" style="543" customWidth="1"/>
    <col min="8200" max="8200" width="5.6640625" style="543" customWidth="1"/>
    <col min="8201" max="8201" width="1.6640625" style="543" customWidth="1"/>
    <col min="8202" max="8202" width="11.44140625" style="543" bestFit="1" customWidth="1"/>
    <col min="8203" max="8203" width="2.6640625" style="543" customWidth="1"/>
    <col min="8204" max="8204" width="5.6640625" style="543" customWidth="1"/>
    <col min="8205" max="8205" width="1.6640625" style="543" customWidth="1"/>
    <col min="8206" max="8206" width="11.44140625" style="543" bestFit="1" customWidth="1"/>
    <col min="8207" max="8207" width="2.6640625" style="543" customWidth="1"/>
    <col min="8208" max="8208" width="5.6640625" style="543" customWidth="1"/>
    <col min="8209" max="8209" width="1.6640625" style="543" customWidth="1"/>
    <col min="8210" max="8210" width="7.44140625" style="543" customWidth="1"/>
    <col min="8211" max="8211" width="6.33203125" style="543" customWidth="1"/>
    <col min="8212" max="8212" width="7.109375" style="543" bestFit="1" customWidth="1"/>
    <col min="8213" max="8213" width="9.33203125" style="543" bestFit="1" customWidth="1"/>
    <col min="8214" max="8214" width="1.6640625" style="543" customWidth="1"/>
    <col min="8215" max="8215" width="12.33203125" style="543" bestFit="1" customWidth="1"/>
    <col min="8216" max="8448" width="9.109375" style="543"/>
    <col min="8449" max="8450" width="3.6640625" style="543" customWidth="1"/>
    <col min="8451" max="8451" width="10.109375" style="543" bestFit="1" customWidth="1"/>
    <col min="8452" max="8452" width="11.33203125" style="543" bestFit="1" customWidth="1"/>
    <col min="8453" max="8453" width="1.6640625" style="543" customWidth="1"/>
    <col min="8454" max="8454" width="11.44140625" style="543" bestFit="1" customWidth="1"/>
    <col min="8455" max="8455" width="2.6640625" style="543" customWidth="1"/>
    <col min="8456" max="8456" width="5.6640625" style="543" customWidth="1"/>
    <col min="8457" max="8457" width="1.6640625" style="543" customWidth="1"/>
    <col min="8458" max="8458" width="11.44140625" style="543" bestFit="1" customWidth="1"/>
    <col min="8459" max="8459" width="2.6640625" style="543" customWidth="1"/>
    <col min="8460" max="8460" width="5.6640625" style="543" customWidth="1"/>
    <col min="8461" max="8461" width="1.6640625" style="543" customWidth="1"/>
    <col min="8462" max="8462" width="11.44140625" style="543" bestFit="1" customWidth="1"/>
    <col min="8463" max="8463" width="2.6640625" style="543" customWidth="1"/>
    <col min="8464" max="8464" width="5.6640625" style="543" customWidth="1"/>
    <col min="8465" max="8465" width="1.6640625" style="543" customWidth="1"/>
    <col min="8466" max="8466" width="7.44140625" style="543" customWidth="1"/>
    <col min="8467" max="8467" width="6.33203125" style="543" customWidth="1"/>
    <col min="8468" max="8468" width="7.109375" style="543" bestFit="1" customWidth="1"/>
    <col min="8469" max="8469" width="9.33203125" style="543" bestFit="1" customWidth="1"/>
    <col min="8470" max="8470" width="1.6640625" style="543" customWidth="1"/>
    <col min="8471" max="8471" width="12.33203125" style="543" bestFit="1" customWidth="1"/>
    <col min="8472" max="8704" width="9.109375" style="543"/>
    <col min="8705" max="8706" width="3.6640625" style="543" customWidth="1"/>
    <col min="8707" max="8707" width="10.109375" style="543" bestFit="1" customWidth="1"/>
    <col min="8708" max="8708" width="11.33203125" style="543" bestFit="1" customWidth="1"/>
    <col min="8709" max="8709" width="1.6640625" style="543" customWidth="1"/>
    <col min="8710" max="8710" width="11.44140625" style="543" bestFit="1" customWidth="1"/>
    <col min="8711" max="8711" width="2.6640625" style="543" customWidth="1"/>
    <col min="8712" max="8712" width="5.6640625" style="543" customWidth="1"/>
    <col min="8713" max="8713" width="1.6640625" style="543" customWidth="1"/>
    <col min="8714" max="8714" width="11.44140625" style="543" bestFit="1" customWidth="1"/>
    <col min="8715" max="8715" width="2.6640625" style="543" customWidth="1"/>
    <col min="8716" max="8716" width="5.6640625" style="543" customWidth="1"/>
    <col min="8717" max="8717" width="1.6640625" style="543" customWidth="1"/>
    <col min="8718" max="8718" width="11.44140625" style="543" bestFit="1" customWidth="1"/>
    <col min="8719" max="8719" width="2.6640625" style="543" customWidth="1"/>
    <col min="8720" max="8720" width="5.6640625" style="543" customWidth="1"/>
    <col min="8721" max="8721" width="1.6640625" style="543" customWidth="1"/>
    <col min="8722" max="8722" width="7.44140625" style="543" customWidth="1"/>
    <col min="8723" max="8723" width="6.33203125" style="543" customWidth="1"/>
    <col min="8724" max="8724" width="7.109375" style="543" bestFit="1" customWidth="1"/>
    <col min="8725" max="8725" width="9.33203125" style="543" bestFit="1" customWidth="1"/>
    <col min="8726" max="8726" width="1.6640625" style="543" customWidth="1"/>
    <col min="8727" max="8727" width="12.33203125" style="543" bestFit="1" customWidth="1"/>
    <col min="8728" max="8960" width="9.109375" style="543"/>
    <col min="8961" max="8962" width="3.6640625" style="543" customWidth="1"/>
    <col min="8963" max="8963" width="10.109375" style="543" bestFit="1" customWidth="1"/>
    <col min="8964" max="8964" width="11.33203125" style="543" bestFit="1" customWidth="1"/>
    <col min="8965" max="8965" width="1.6640625" style="543" customWidth="1"/>
    <col min="8966" max="8966" width="11.44140625" style="543" bestFit="1" customWidth="1"/>
    <col min="8967" max="8967" width="2.6640625" style="543" customWidth="1"/>
    <col min="8968" max="8968" width="5.6640625" style="543" customWidth="1"/>
    <col min="8969" max="8969" width="1.6640625" style="543" customWidth="1"/>
    <col min="8970" max="8970" width="11.44140625" style="543" bestFit="1" customWidth="1"/>
    <col min="8971" max="8971" width="2.6640625" style="543" customWidth="1"/>
    <col min="8972" max="8972" width="5.6640625" style="543" customWidth="1"/>
    <col min="8973" max="8973" width="1.6640625" style="543" customWidth="1"/>
    <col min="8974" max="8974" width="11.44140625" style="543" bestFit="1" customWidth="1"/>
    <col min="8975" max="8975" width="2.6640625" style="543" customWidth="1"/>
    <col min="8976" max="8976" width="5.6640625" style="543" customWidth="1"/>
    <col min="8977" max="8977" width="1.6640625" style="543" customWidth="1"/>
    <col min="8978" max="8978" width="7.44140625" style="543" customWidth="1"/>
    <col min="8979" max="8979" width="6.33203125" style="543" customWidth="1"/>
    <col min="8980" max="8980" width="7.109375" style="543" bestFit="1" customWidth="1"/>
    <col min="8981" max="8981" width="9.33203125" style="543" bestFit="1" customWidth="1"/>
    <col min="8982" max="8982" width="1.6640625" style="543" customWidth="1"/>
    <col min="8983" max="8983" width="12.33203125" style="543" bestFit="1" customWidth="1"/>
    <col min="8984" max="9216" width="9.109375" style="543"/>
    <col min="9217" max="9218" width="3.6640625" style="543" customWidth="1"/>
    <col min="9219" max="9219" width="10.109375" style="543" bestFit="1" customWidth="1"/>
    <col min="9220" max="9220" width="11.33203125" style="543" bestFit="1" customWidth="1"/>
    <col min="9221" max="9221" width="1.6640625" style="543" customWidth="1"/>
    <col min="9222" max="9222" width="11.44140625" style="543" bestFit="1" customWidth="1"/>
    <col min="9223" max="9223" width="2.6640625" style="543" customWidth="1"/>
    <col min="9224" max="9224" width="5.6640625" style="543" customWidth="1"/>
    <col min="9225" max="9225" width="1.6640625" style="543" customWidth="1"/>
    <col min="9226" max="9226" width="11.44140625" style="543" bestFit="1" customWidth="1"/>
    <col min="9227" max="9227" width="2.6640625" style="543" customWidth="1"/>
    <col min="9228" max="9228" width="5.6640625" style="543" customWidth="1"/>
    <col min="9229" max="9229" width="1.6640625" style="543" customWidth="1"/>
    <col min="9230" max="9230" width="11.44140625" style="543" bestFit="1" customWidth="1"/>
    <col min="9231" max="9231" width="2.6640625" style="543" customWidth="1"/>
    <col min="9232" max="9232" width="5.6640625" style="543" customWidth="1"/>
    <col min="9233" max="9233" width="1.6640625" style="543" customWidth="1"/>
    <col min="9234" max="9234" width="7.44140625" style="543" customWidth="1"/>
    <col min="9235" max="9235" width="6.33203125" style="543" customWidth="1"/>
    <col min="9236" max="9236" width="7.109375" style="543" bestFit="1" customWidth="1"/>
    <col min="9237" max="9237" width="9.33203125" style="543" bestFit="1" customWidth="1"/>
    <col min="9238" max="9238" width="1.6640625" style="543" customWidth="1"/>
    <col min="9239" max="9239" width="12.33203125" style="543" bestFit="1" customWidth="1"/>
    <col min="9240" max="9472" width="9.109375" style="543"/>
    <col min="9473" max="9474" width="3.6640625" style="543" customWidth="1"/>
    <col min="9475" max="9475" width="10.109375" style="543" bestFit="1" customWidth="1"/>
    <col min="9476" max="9476" width="11.33203125" style="543" bestFit="1" customWidth="1"/>
    <col min="9477" max="9477" width="1.6640625" style="543" customWidth="1"/>
    <col min="9478" max="9478" width="11.44140625" style="543" bestFit="1" customWidth="1"/>
    <col min="9479" max="9479" width="2.6640625" style="543" customWidth="1"/>
    <col min="9480" max="9480" width="5.6640625" style="543" customWidth="1"/>
    <col min="9481" max="9481" width="1.6640625" style="543" customWidth="1"/>
    <col min="9482" max="9482" width="11.44140625" style="543" bestFit="1" customWidth="1"/>
    <col min="9483" max="9483" width="2.6640625" style="543" customWidth="1"/>
    <col min="9484" max="9484" width="5.6640625" style="543" customWidth="1"/>
    <col min="9485" max="9485" width="1.6640625" style="543" customWidth="1"/>
    <col min="9486" max="9486" width="11.44140625" style="543" bestFit="1" customWidth="1"/>
    <col min="9487" max="9487" width="2.6640625" style="543" customWidth="1"/>
    <col min="9488" max="9488" width="5.6640625" style="543" customWidth="1"/>
    <col min="9489" max="9489" width="1.6640625" style="543" customWidth="1"/>
    <col min="9490" max="9490" width="7.44140625" style="543" customWidth="1"/>
    <col min="9491" max="9491" width="6.33203125" style="543" customWidth="1"/>
    <col min="9492" max="9492" width="7.109375" style="543" bestFit="1" customWidth="1"/>
    <col min="9493" max="9493" width="9.33203125" style="543" bestFit="1" customWidth="1"/>
    <col min="9494" max="9494" width="1.6640625" style="543" customWidth="1"/>
    <col min="9495" max="9495" width="12.33203125" style="543" bestFit="1" customWidth="1"/>
    <col min="9496" max="9728" width="9.109375" style="543"/>
    <col min="9729" max="9730" width="3.6640625" style="543" customWidth="1"/>
    <col min="9731" max="9731" width="10.109375" style="543" bestFit="1" customWidth="1"/>
    <col min="9732" max="9732" width="11.33203125" style="543" bestFit="1" customWidth="1"/>
    <col min="9733" max="9733" width="1.6640625" style="543" customWidth="1"/>
    <col min="9734" max="9734" width="11.44140625" style="543" bestFit="1" customWidth="1"/>
    <col min="9735" max="9735" width="2.6640625" style="543" customWidth="1"/>
    <col min="9736" max="9736" width="5.6640625" style="543" customWidth="1"/>
    <col min="9737" max="9737" width="1.6640625" style="543" customWidth="1"/>
    <col min="9738" max="9738" width="11.44140625" style="543" bestFit="1" customWidth="1"/>
    <col min="9739" max="9739" width="2.6640625" style="543" customWidth="1"/>
    <col min="9740" max="9740" width="5.6640625" style="543" customWidth="1"/>
    <col min="9741" max="9741" width="1.6640625" style="543" customWidth="1"/>
    <col min="9742" max="9742" width="11.44140625" style="543" bestFit="1" customWidth="1"/>
    <col min="9743" max="9743" width="2.6640625" style="543" customWidth="1"/>
    <col min="9744" max="9744" width="5.6640625" style="543" customWidth="1"/>
    <col min="9745" max="9745" width="1.6640625" style="543" customWidth="1"/>
    <col min="9746" max="9746" width="7.44140625" style="543" customWidth="1"/>
    <col min="9747" max="9747" width="6.33203125" style="543" customWidth="1"/>
    <col min="9748" max="9748" width="7.109375" style="543" bestFit="1" customWidth="1"/>
    <col min="9749" max="9749" width="9.33203125" style="543" bestFit="1" customWidth="1"/>
    <col min="9750" max="9750" width="1.6640625" style="543" customWidth="1"/>
    <col min="9751" max="9751" width="12.33203125" style="543" bestFit="1" customWidth="1"/>
    <col min="9752" max="9984" width="9.109375" style="543"/>
    <col min="9985" max="9986" width="3.6640625" style="543" customWidth="1"/>
    <col min="9987" max="9987" width="10.109375" style="543" bestFit="1" customWidth="1"/>
    <col min="9988" max="9988" width="11.33203125" style="543" bestFit="1" customWidth="1"/>
    <col min="9989" max="9989" width="1.6640625" style="543" customWidth="1"/>
    <col min="9990" max="9990" width="11.44140625" style="543" bestFit="1" customWidth="1"/>
    <col min="9991" max="9991" width="2.6640625" style="543" customWidth="1"/>
    <col min="9992" max="9992" width="5.6640625" style="543" customWidth="1"/>
    <col min="9993" max="9993" width="1.6640625" style="543" customWidth="1"/>
    <col min="9994" max="9994" width="11.44140625" style="543" bestFit="1" customWidth="1"/>
    <col min="9995" max="9995" width="2.6640625" style="543" customWidth="1"/>
    <col min="9996" max="9996" width="5.6640625" style="543" customWidth="1"/>
    <col min="9997" max="9997" width="1.6640625" style="543" customWidth="1"/>
    <col min="9998" max="9998" width="11.44140625" style="543" bestFit="1" customWidth="1"/>
    <col min="9999" max="9999" width="2.6640625" style="543" customWidth="1"/>
    <col min="10000" max="10000" width="5.6640625" style="543" customWidth="1"/>
    <col min="10001" max="10001" width="1.6640625" style="543" customWidth="1"/>
    <col min="10002" max="10002" width="7.44140625" style="543" customWidth="1"/>
    <col min="10003" max="10003" width="6.33203125" style="543" customWidth="1"/>
    <col min="10004" max="10004" width="7.109375" style="543" bestFit="1" customWidth="1"/>
    <col min="10005" max="10005" width="9.33203125" style="543" bestFit="1" customWidth="1"/>
    <col min="10006" max="10006" width="1.6640625" style="543" customWidth="1"/>
    <col min="10007" max="10007" width="12.33203125" style="543" bestFit="1" customWidth="1"/>
    <col min="10008" max="10240" width="9.109375" style="543"/>
    <col min="10241" max="10242" width="3.6640625" style="543" customWidth="1"/>
    <col min="10243" max="10243" width="10.109375" style="543" bestFit="1" customWidth="1"/>
    <col min="10244" max="10244" width="11.33203125" style="543" bestFit="1" customWidth="1"/>
    <col min="10245" max="10245" width="1.6640625" style="543" customWidth="1"/>
    <col min="10246" max="10246" width="11.44140625" style="543" bestFit="1" customWidth="1"/>
    <col min="10247" max="10247" width="2.6640625" style="543" customWidth="1"/>
    <col min="10248" max="10248" width="5.6640625" style="543" customWidth="1"/>
    <col min="10249" max="10249" width="1.6640625" style="543" customWidth="1"/>
    <col min="10250" max="10250" width="11.44140625" style="543" bestFit="1" customWidth="1"/>
    <col min="10251" max="10251" width="2.6640625" style="543" customWidth="1"/>
    <col min="10252" max="10252" width="5.6640625" style="543" customWidth="1"/>
    <col min="10253" max="10253" width="1.6640625" style="543" customWidth="1"/>
    <col min="10254" max="10254" width="11.44140625" style="543" bestFit="1" customWidth="1"/>
    <col min="10255" max="10255" width="2.6640625" style="543" customWidth="1"/>
    <col min="10256" max="10256" width="5.6640625" style="543" customWidth="1"/>
    <col min="10257" max="10257" width="1.6640625" style="543" customWidth="1"/>
    <col min="10258" max="10258" width="7.44140625" style="543" customWidth="1"/>
    <col min="10259" max="10259" width="6.33203125" style="543" customWidth="1"/>
    <col min="10260" max="10260" width="7.109375" style="543" bestFit="1" customWidth="1"/>
    <col min="10261" max="10261" width="9.33203125" style="543" bestFit="1" customWidth="1"/>
    <col min="10262" max="10262" width="1.6640625" style="543" customWidth="1"/>
    <col min="10263" max="10263" width="12.33203125" style="543" bestFit="1" customWidth="1"/>
    <col min="10264" max="10496" width="9.109375" style="543"/>
    <col min="10497" max="10498" width="3.6640625" style="543" customWidth="1"/>
    <col min="10499" max="10499" width="10.109375" style="543" bestFit="1" customWidth="1"/>
    <col min="10500" max="10500" width="11.33203125" style="543" bestFit="1" customWidth="1"/>
    <col min="10501" max="10501" width="1.6640625" style="543" customWidth="1"/>
    <col min="10502" max="10502" width="11.44140625" style="543" bestFit="1" customWidth="1"/>
    <col min="10503" max="10503" width="2.6640625" style="543" customWidth="1"/>
    <col min="10504" max="10504" width="5.6640625" style="543" customWidth="1"/>
    <col min="10505" max="10505" width="1.6640625" style="543" customWidth="1"/>
    <col min="10506" max="10506" width="11.44140625" style="543" bestFit="1" customWidth="1"/>
    <col min="10507" max="10507" width="2.6640625" style="543" customWidth="1"/>
    <col min="10508" max="10508" width="5.6640625" style="543" customWidth="1"/>
    <col min="10509" max="10509" width="1.6640625" style="543" customWidth="1"/>
    <col min="10510" max="10510" width="11.44140625" style="543" bestFit="1" customWidth="1"/>
    <col min="10511" max="10511" width="2.6640625" style="543" customWidth="1"/>
    <col min="10512" max="10512" width="5.6640625" style="543" customWidth="1"/>
    <col min="10513" max="10513" width="1.6640625" style="543" customWidth="1"/>
    <col min="10514" max="10514" width="7.44140625" style="543" customWidth="1"/>
    <col min="10515" max="10515" width="6.33203125" style="543" customWidth="1"/>
    <col min="10516" max="10516" width="7.109375" style="543" bestFit="1" customWidth="1"/>
    <col min="10517" max="10517" width="9.33203125" style="543" bestFit="1" customWidth="1"/>
    <col min="10518" max="10518" width="1.6640625" style="543" customWidth="1"/>
    <col min="10519" max="10519" width="12.33203125" style="543" bestFit="1" customWidth="1"/>
    <col min="10520" max="10752" width="9.109375" style="543"/>
    <col min="10753" max="10754" width="3.6640625" style="543" customWidth="1"/>
    <col min="10755" max="10755" width="10.109375" style="543" bestFit="1" customWidth="1"/>
    <col min="10756" max="10756" width="11.33203125" style="543" bestFit="1" customWidth="1"/>
    <col min="10757" max="10757" width="1.6640625" style="543" customWidth="1"/>
    <col min="10758" max="10758" width="11.44140625" style="543" bestFit="1" customWidth="1"/>
    <col min="10759" max="10759" width="2.6640625" style="543" customWidth="1"/>
    <col min="10760" max="10760" width="5.6640625" style="543" customWidth="1"/>
    <col min="10761" max="10761" width="1.6640625" style="543" customWidth="1"/>
    <col min="10762" max="10762" width="11.44140625" style="543" bestFit="1" customWidth="1"/>
    <col min="10763" max="10763" width="2.6640625" style="543" customWidth="1"/>
    <col min="10764" max="10764" width="5.6640625" style="543" customWidth="1"/>
    <col min="10765" max="10765" width="1.6640625" style="543" customWidth="1"/>
    <col min="10766" max="10766" width="11.44140625" style="543" bestFit="1" customWidth="1"/>
    <col min="10767" max="10767" width="2.6640625" style="543" customWidth="1"/>
    <col min="10768" max="10768" width="5.6640625" style="543" customWidth="1"/>
    <col min="10769" max="10769" width="1.6640625" style="543" customWidth="1"/>
    <col min="10770" max="10770" width="7.44140625" style="543" customWidth="1"/>
    <col min="10771" max="10771" width="6.33203125" style="543" customWidth="1"/>
    <col min="10772" max="10772" width="7.109375" style="543" bestFit="1" customWidth="1"/>
    <col min="10773" max="10773" width="9.33203125" style="543" bestFit="1" customWidth="1"/>
    <col min="10774" max="10774" width="1.6640625" style="543" customWidth="1"/>
    <col min="10775" max="10775" width="12.33203125" style="543" bestFit="1" customWidth="1"/>
    <col min="10776" max="11008" width="9.109375" style="543"/>
    <col min="11009" max="11010" width="3.6640625" style="543" customWidth="1"/>
    <col min="11011" max="11011" width="10.109375" style="543" bestFit="1" customWidth="1"/>
    <col min="11012" max="11012" width="11.33203125" style="543" bestFit="1" customWidth="1"/>
    <col min="11013" max="11013" width="1.6640625" style="543" customWidth="1"/>
    <col min="11014" max="11014" width="11.44140625" style="543" bestFit="1" customWidth="1"/>
    <col min="11015" max="11015" width="2.6640625" style="543" customWidth="1"/>
    <col min="11016" max="11016" width="5.6640625" style="543" customWidth="1"/>
    <col min="11017" max="11017" width="1.6640625" style="543" customWidth="1"/>
    <col min="11018" max="11018" width="11.44140625" style="543" bestFit="1" customWidth="1"/>
    <col min="11019" max="11019" width="2.6640625" style="543" customWidth="1"/>
    <col min="11020" max="11020" width="5.6640625" style="543" customWidth="1"/>
    <col min="11021" max="11021" width="1.6640625" style="543" customWidth="1"/>
    <col min="11022" max="11022" width="11.44140625" style="543" bestFit="1" customWidth="1"/>
    <col min="11023" max="11023" width="2.6640625" style="543" customWidth="1"/>
    <col min="11024" max="11024" width="5.6640625" style="543" customWidth="1"/>
    <col min="11025" max="11025" width="1.6640625" style="543" customWidth="1"/>
    <col min="11026" max="11026" width="7.44140625" style="543" customWidth="1"/>
    <col min="11027" max="11027" width="6.33203125" style="543" customWidth="1"/>
    <col min="11028" max="11028" width="7.109375" style="543" bestFit="1" customWidth="1"/>
    <col min="11029" max="11029" width="9.33203125" style="543" bestFit="1" customWidth="1"/>
    <col min="11030" max="11030" width="1.6640625" style="543" customWidth="1"/>
    <col min="11031" max="11031" width="12.33203125" style="543" bestFit="1" customWidth="1"/>
    <col min="11032" max="11264" width="9.109375" style="543"/>
    <col min="11265" max="11266" width="3.6640625" style="543" customWidth="1"/>
    <col min="11267" max="11267" width="10.109375" style="543" bestFit="1" customWidth="1"/>
    <col min="11268" max="11268" width="11.33203125" style="543" bestFit="1" customWidth="1"/>
    <col min="11269" max="11269" width="1.6640625" style="543" customWidth="1"/>
    <col min="11270" max="11270" width="11.44140625" style="543" bestFit="1" customWidth="1"/>
    <col min="11271" max="11271" width="2.6640625" style="543" customWidth="1"/>
    <col min="11272" max="11272" width="5.6640625" style="543" customWidth="1"/>
    <col min="11273" max="11273" width="1.6640625" style="543" customWidth="1"/>
    <col min="11274" max="11274" width="11.44140625" style="543" bestFit="1" customWidth="1"/>
    <col min="11275" max="11275" width="2.6640625" style="543" customWidth="1"/>
    <col min="11276" max="11276" width="5.6640625" style="543" customWidth="1"/>
    <col min="11277" max="11277" width="1.6640625" style="543" customWidth="1"/>
    <col min="11278" max="11278" width="11.44140625" style="543" bestFit="1" customWidth="1"/>
    <col min="11279" max="11279" width="2.6640625" style="543" customWidth="1"/>
    <col min="11280" max="11280" width="5.6640625" style="543" customWidth="1"/>
    <col min="11281" max="11281" width="1.6640625" style="543" customWidth="1"/>
    <col min="11282" max="11282" width="7.44140625" style="543" customWidth="1"/>
    <col min="11283" max="11283" width="6.33203125" style="543" customWidth="1"/>
    <col min="11284" max="11284" width="7.109375" style="543" bestFit="1" customWidth="1"/>
    <col min="11285" max="11285" width="9.33203125" style="543" bestFit="1" customWidth="1"/>
    <col min="11286" max="11286" width="1.6640625" style="543" customWidth="1"/>
    <col min="11287" max="11287" width="12.33203125" style="543" bestFit="1" customWidth="1"/>
    <col min="11288" max="11520" width="9.109375" style="543"/>
    <col min="11521" max="11522" width="3.6640625" style="543" customWidth="1"/>
    <col min="11523" max="11523" width="10.109375" style="543" bestFit="1" customWidth="1"/>
    <col min="11524" max="11524" width="11.33203125" style="543" bestFit="1" customWidth="1"/>
    <col min="11525" max="11525" width="1.6640625" style="543" customWidth="1"/>
    <col min="11526" max="11526" width="11.44140625" style="543" bestFit="1" customWidth="1"/>
    <col min="11527" max="11527" width="2.6640625" style="543" customWidth="1"/>
    <col min="11528" max="11528" width="5.6640625" style="543" customWidth="1"/>
    <col min="11529" max="11529" width="1.6640625" style="543" customWidth="1"/>
    <col min="11530" max="11530" width="11.44140625" style="543" bestFit="1" customWidth="1"/>
    <col min="11531" max="11531" width="2.6640625" style="543" customWidth="1"/>
    <col min="11532" max="11532" width="5.6640625" style="543" customWidth="1"/>
    <col min="11533" max="11533" width="1.6640625" style="543" customWidth="1"/>
    <col min="11534" max="11534" width="11.44140625" style="543" bestFit="1" customWidth="1"/>
    <col min="11535" max="11535" width="2.6640625" style="543" customWidth="1"/>
    <col min="11536" max="11536" width="5.6640625" style="543" customWidth="1"/>
    <col min="11537" max="11537" width="1.6640625" style="543" customWidth="1"/>
    <col min="11538" max="11538" width="7.44140625" style="543" customWidth="1"/>
    <col min="11539" max="11539" width="6.33203125" style="543" customWidth="1"/>
    <col min="11540" max="11540" width="7.109375" style="543" bestFit="1" customWidth="1"/>
    <col min="11541" max="11541" width="9.33203125" style="543" bestFit="1" customWidth="1"/>
    <col min="11542" max="11542" width="1.6640625" style="543" customWidth="1"/>
    <col min="11543" max="11543" width="12.33203125" style="543" bestFit="1" customWidth="1"/>
    <col min="11544" max="11776" width="9.109375" style="543"/>
    <col min="11777" max="11778" width="3.6640625" style="543" customWidth="1"/>
    <col min="11779" max="11779" width="10.109375" style="543" bestFit="1" customWidth="1"/>
    <col min="11780" max="11780" width="11.33203125" style="543" bestFit="1" customWidth="1"/>
    <col min="11781" max="11781" width="1.6640625" style="543" customWidth="1"/>
    <col min="11782" max="11782" width="11.44140625" style="543" bestFit="1" customWidth="1"/>
    <col min="11783" max="11783" width="2.6640625" style="543" customWidth="1"/>
    <col min="11784" max="11784" width="5.6640625" style="543" customWidth="1"/>
    <col min="11785" max="11785" width="1.6640625" style="543" customWidth="1"/>
    <col min="11786" max="11786" width="11.44140625" style="543" bestFit="1" customWidth="1"/>
    <col min="11787" max="11787" width="2.6640625" style="543" customWidth="1"/>
    <col min="11788" max="11788" width="5.6640625" style="543" customWidth="1"/>
    <col min="11789" max="11789" width="1.6640625" style="543" customWidth="1"/>
    <col min="11790" max="11790" width="11.44140625" style="543" bestFit="1" customWidth="1"/>
    <col min="11791" max="11791" width="2.6640625" style="543" customWidth="1"/>
    <col min="11792" max="11792" width="5.6640625" style="543" customWidth="1"/>
    <col min="11793" max="11793" width="1.6640625" style="543" customWidth="1"/>
    <col min="11794" max="11794" width="7.44140625" style="543" customWidth="1"/>
    <col min="11795" max="11795" width="6.33203125" style="543" customWidth="1"/>
    <col min="11796" max="11796" width="7.109375" style="543" bestFit="1" customWidth="1"/>
    <col min="11797" max="11797" width="9.33203125" style="543" bestFit="1" customWidth="1"/>
    <col min="11798" max="11798" width="1.6640625" style="543" customWidth="1"/>
    <col min="11799" max="11799" width="12.33203125" style="543" bestFit="1" customWidth="1"/>
    <col min="11800" max="12032" width="9.109375" style="543"/>
    <col min="12033" max="12034" width="3.6640625" style="543" customWidth="1"/>
    <col min="12035" max="12035" width="10.109375" style="543" bestFit="1" customWidth="1"/>
    <col min="12036" max="12036" width="11.33203125" style="543" bestFit="1" customWidth="1"/>
    <col min="12037" max="12037" width="1.6640625" style="543" customWidth="1"/>
    <col min="12038" max="12038" width="11.44140625" style="543" bestFit="1" customWidth="1"/>
    <col min="12039" max="12039" width="2.6640625" style="543" customWidth="1"/>
    <col min="12040" max="12040" width="5.6640625" style="543" customWidth="1"/>
    <col min="12041" max="12041" width="1.6640625" style="543" customWidth="1"/>
    <col min="12042" max="12042" width="11.44140625" style="543" bestFit="1" customWidth="1"/>
    <col min="12043" max="12043" width="2.6640625" style="543" customWidth="1"/>
    <col min="12044" max="12044" width="5.6640625" style="543" customWidth="1"/>
    <col min="12045" max="12045" width="1.6640625" style="543" customWidth="1"/>
    <col min="12046" max="12046" width="11.44140625" style="543" bestFit="1" customWidth="1"/>
    <col min="12047" max="12047" width="2.6640625" style="543" customWidth="1"/>
    <col min="12048" max="12048" width="5.6640625" style="543" customWidth="1"/>
    <col min="12049" max="12049" width="1.6640625" style="543" customWidth="1"/>
    <col min="12050" max="12050" width="7.44140625" style="543" customWidth="1"/>
    <col min="12051" max="12051" width="6.33203125" style="543" customWidth="1"/>
    <col min="12052" max="12052" width="7.109375" style="543" bestFit="1" customWidth="1"/>
    <col min="12053" max="12053" width="9.33203125" style="543" bestFit="1" customWidth="1"/>
    <col min="12054" max="12054" width="1.6640625" style="543" customWidth="1"/>
    <col min="12055" max="12055" width="12.33203125" style="543" bestFit="1" customWidth="1"/>
    <col min="12056" max="12288" width="9.109375" style="543"/>
    <col min="12289" max="12290" width="3.6640625" style="543" customWidth="1"/>
    <col min="12291" max="12291" width="10.109375" style="543" bestFit="1" customWidth="1"/>
    <col min="12292" max="12292" width="11.33203125" style="543" bestFit="1" customWidth="1"/>
    <col min="12293" max="12293" width="1.6640625" style="543" customWidth="1"/>
    <col min="12294" max="12294" width="11.44140625" style="543" bestFit="1" customWidth="1"/>
    <col min="12295" max="12295" width="2.6640625" style="543" customWidth="1"/>
    <col min="12296" max="12296" width="5.6640625" style="543" customWidth="1"/>
    <col min="12297" max="12297" width="1.6640625" style="543" customWidth="1"/>
    <col min="12298" max="12298" width="11.44140625" style="543" bestFit="1" customWidth="1"/>
    <col min="12299" max="12299" width="2.6640625" style="543" customWidth="1"/>
    <col min="12300" max="12300" width="5.6640625" style="543" customWidth="1"/>
    <col min="12301" max="12301" width="1.6640625" style="543" customWidth="1"/>
    <col min="12302" max="12302" width="11.44140625" style="543" bestFit="1" customWidth="1"/>
    <col min="12303" max="12303" width="2.6640625" style="543" customWidth="1"/>
    <col min="12304" max="12304" width="5.6640625" style="543" customWidth="1"/>
    <col min="12305" max="12305" width="1.6640625" style="543" customWidth="1"/>
    <col min="12306" max="12306" width="7.44140625" style="543" customWidth="1"/>
    <col min="12307" max="12307" width="6.33203125" style="543" customWidth="1"/>
    <col min="12308" max="12308" width="7.109375" style="543" bestFit="1" customWidth="1"/>
    <col min="12309" max="12309" width="9.33203125" style="543" bestFit="1" customWidth="1"/>
    <col min="12310" max="12310" width="1.6640625" style="543" customWidth="1"/>
    <col min="12311" max="12311" width="12.33203125" style="543" bestFit="1" customWidth="1"/>
    <col min="12312" max="12544" width="9.109375" style="543"/>
    <col min="12545" max="12546" width="3.6640625" style="543" customWidth="1"/>
    <col min="12547" max="12547" width="10.109375" style="543" bestFit="1" customWidth="1"/>
    <col min="12548" max="12548" width="11.33203125" style="543" bestFit="1" customWidth="1"/>
    <col min="12549" max="12549" width="1.6640625" style="543" customWidth="1"/>
    <col min="12550" max="12550" width="11.44140625" style="543" bestFit="1" customWidth="1"/>
    <col min="12551" max="12551" width="2.6640625" style="543" customWidth="1"/>
    <col min="12552" max="12552" width="5.6640625" style="543" customWidth="1"/>
    <col min="12553" max="12553" width="1.6640625" style="543" customWidth="1"/>
    <col min="12554" max="12554" width="11.44140625" style="543" bestFit="1" customWidth="1"/>
    <col min="12555" max="12555" width="2.6640625" style="543" customWidth="1"/>
    <col min="12556" max="12556" width="5.6640625" style="543" customWidth="1"/>
    <col min="12557" max="12557" width="1.6640625" style="543" customWidth="1"/>
    <col min="12558" max="12558" width="11.44140625" style="543" bestFit="1" customWidth="1"/>
    <col min="12559" max="12559" width="2.6640625" style="543" customWidth="1"/>
    <col min="12560" max="12560" width="5.6640625" style="543" customWidth="1"/>
    <col min="12561" max="12561" width="1.6640625" style="543" customWidth="1"/>
    <col min="12562" max="12562" width="7.44140625" style="543" customWidth="1"/>
    <col min="12563" max="12563" width="6.33203125" style="543" customWidth="1"/>
    <col min="12564" max="12564" width="7.109375" style="543" bestFit="1" customWidth="1"/>
    <col min="12565" max="12565" width="9.33203125" style="543" bestFit="1" customWidth="1"/>
    <col min="12566" max="12566" width="1.6640625" style="543" customWidth="1"/>
    <col min="12567" max="12567" width="12.33203125" style="543" bestFit="1" customWidth="1"/>
    <col min="12568" max="12800" width="9.109375" style="543"/>
    <col min="12801" max="12802" width="3.6640625" style="543" customWidth="1"/>
    <col min="12803" max="12803" width="10.109375" style="543" bestFit="1" customWidth="1"/>
    <col min="12804" max="12804" width="11.33203125" style="543" bestFit="1" customWidth="1"/>
    <col min="12805" max="12805" width="1.6640625" style="543" customWidth="1"/>
    <col min="12806" max="12806" width="11.44140625" style="543" bestFit="1" customWidth="1"/>
    <col min="12807" max="12807" width="2.6640625" style="543" customWidth="1"/>
    <col min="12808" max="12808" width="5.6640625" style="543" customWidth="1"/>
    <col min="12809" max="12809" width="1.6640625" style="543" customWidth="1"/>
    <col min="12810" max="12810" width="11.44140625" style="543" bestFit="1" customWidth="1"/>
    <col min="12811" max="12811" width="2.6640625" style="543" customWidth="1"/>
    <col min="12812" max="12812" width="5.6640625" style="543" customWidth="1"/>
    <col min="12813" max="12813" width="1.6640625" style="543" customWidth="1"/>
    <col min="12814" max="12814" width="11.44140625" style="543" bestFit="1" customWidth="1"/>
    <col min="12815" max="12815" width="2.6640625" style="543" customWidth="1"/>
    <col min="12816" max="12816" width="5.6640625" style="543" customWidth="1"/>
    <col min="12817" max="12817" width="1.6640625" style="543" customWidth="1"/>
    <col min="12818" max="12818" width="7.44140625" style="543" customWidth="1"/>
    <col min="12819" max="12819" width="6.33203125" style="543" customWidth="1"/>
    <col min="12820" max="12820" width="7.109375" style="543" bestFit="1" customWidth="1"/>
    <col min="12821" max="12821" width="9.33203125" style="543" bestFit="1" customWidth="1"/>
    <col min="12822" max="12822" width="1.6640625" style="543" customWidth="1"/>
    <col min="12823" max="12823" width="12.33203125" style="543" bestFit="1" customWidth="1"/>
    <col min="12824" max="13056" width="9.109375" style="543"/>
    <col min="13057" max="13058" width="3.6640625" style="543" customWidth="1"/>
    <col min="13059" max="13059" width="10.109375" style="543" bestFit="1" customWidth="1"/>
    <col min="13060" max="13060" width="11.33203125" style="543" bestFit="1" customWidth="1"/>
    <col min="13061" max="13061" width="1.6640625" style="543" customWidth="1"/>
    <col min="13062" max="13062" width="11.44140625" style="543" bestFit="1" customWidth="1"/>
    <col min="13063" max="13063" width="2.6640625" style="543" customWidth="1"/>
    <col min="13064" max="13064" width="5.6640625" style="543" customWidth="1"/>
    <col min="13065" max="13065" width="1.6640625" style="543" customWidth="1"/>
    <col min="13066" max="13066" width="11.44140625" style="543" bestFit="1" customWidth="1"/>
    <col min="13067" max="13067" width="2.6640625" style="543" customWidth="1"/>
    <col min="13068" max="13068" width="5.6640625" style="543" customWidth="1"/>
    <col min="13069" max="13069" width="1.6640625" style="543" customWidth="1"/>
    <col min="13070" max="13070" width="11.44140625" style="543" bestFit="1" customWidth="1"/>
    <col min="13071" max="13071" width="2.6640625" style="543" customWidth="1"/>
    <col min="13072" max="13072" width="5.6640625" style="543" customWidth="1"/>
    <col min="13073" max="13073" width="1.6640625" style="543" customWidth="1"/>
    <col min="13074" max="13074" width="7.44140625" style="543" customWidth="1"/>
    <col min="13075" max="13075" width="6.33203125" style="543" customWidth="1"/>
    <col min="13076" max="13076" width="7.109375" style="543" bestFit="1" customWidth="1"/>
    <col min="13077" max="13077" width="9.33203125" style="543" bestFit="1" customWidth="1"/>
    <col min="13078" max="13078" width="1.6640625" style="543" customWidth="1"/>
    <col min="13079" max="13079" width="12.33203125" style="543" bestFit="1" customWidth="1"/>
    <col min="13080" max="13312" width="9.109375" style="543"/>
    <col min="13313" max="13314" width="3.6640625" style="543" customWidth="1"/>
    <col min="13315" max="13315" width="10.109375" style="543" bestFit="1" customWidth="1"/>
    <col min="13316" max="13316" width="11.33203125" style="543" bestFit="1" customWidth="1"/>
    <col min="13317" max="13317" width="1.6640625" style="543" customWidth="1"/>
    <col min="13318" max="13318" width="11.44140625" style="543" bestFit="1" customWidth="1"/>
    <col min="13319" max="13319" width="2.6640625" style="543" customWidth="1"/>
    <col min="13320" max="13320" width="5.6640625" style="543" customWidth="1"/>
    <col min="13321" max="13321" width="1.6640625" style="543" customWidth="1"/>
    <col min="13322" max="13322" width="11.44140625" style="543" bestFit="1" customWidth="1"/>
    <col min="13323" max="13323" width="2.6640625" style="543" customWidth="1"/>
    <col min="13324" max="13324" width="5.6640625" style="543" customWidth="1"/>
    <col min="13325" max="13325" width="1.6640625" style="543" customWidth="1"/>
    <col min="13326" max="13326" width="11.44140625" style="543" bestFit="1" customWidth="1"/>
    <col min="13327" max="13327" width="2.6640625" style="543" customWidth="1"/>
    <col min="13328" max="13328" width="5.6640625" style="543" customWidth="1"/>
    <col min="13329" max="13329" width="1.6640625" style="543" customWidth="1"/>
    <col min="13330" max="13330" width="7.44140625" style="543" customWidth="1"/>
    <col min="13331" max="13331" width="6.33203125" style="543" customWidth="1"/>
    <col min="13332" max="13332" width="7.109375" style="543" bestFit="1" customWidth="1"/>
    <col min="13333" max="13333" width="9.33203125" style="543" bestFit="1" customWidth="1"/>
    <col min="13334" max="13334" width="1.6640625" style="543" customWidth="1"/>
    <col min="13335" max="13335" width="12.33203125" style="543" bestFit="1" customWidth="1"/>
    <col min="13336" max="13568" width="9.109375" style="543"/>
    <col min="13569" max="13570" width="3.6640625" style="543" customWidth="1"/>
    <col min="13571" max="13571" width="10.109375" style="543" bestFit="1" customWidth="1"/>
    <col min="13572" max="13572" width="11.33203125" style="543" bestFit="1" customWidth="1"/>
    <col min="13573" max="13573" width="1.6640625" style="543" customWidth="1"/>
    <col min="13574" max="13574" width="11.44140625" style="543" bestFit="1" customWidth="1"/>
    <col min="13575" max="13575" width="2.6640625" style="543" customWidth="1"/>
    <col min="13576" max="13576" width="5.6640625" style="543" customWidth="1"/>
    <col min="13577" max="13577" width="1.6640625" style="543" customWidth="1"/>
    <col min="13578" max="13578" width="11.44140625" style="543" bestFit="1" customWidth="1"/>
    <col min="13579" max="13579" width="2.6640625" style="543" customWidth="1"/>
    <col min="13580" max="13580" width="5.6640625" style="543" customWidth="1"/>
    <col min="13581" max="13581" width="1.6640625" style="543" customWidth="1"/>
    <col min="13582" max="13582" width="11.44140625" style="543" bestFit="1" customWidth="1"/>
    <col min="13583" max="13583" width="2.6640625" style="543" customWidth="1"/>
    <col min="13584" max="13584" width="5.6640625" style="543" customWidth="1"/>
    <col min="13585" max="13585" width="1.6640625" style="543" customWidth="1"/>
    <col min="13586" max="13586" width="7.44140625" style="543" customWidth="1"/>
    <col min="13587" max="13587" width="6.33203125" style="543" customWidth="1"/>
    <col min="13588" max="13588" width="7.109375" style="543" bestFit="1" customWidth="1"/>
    <col min="13589" max="13589" width="9.33203125" style="543" bestFit="1" customWidth="1"/>
    <col min="13590" max="13590" width="1.6640625" style="543" customWidth="1"/>
    <col min="13591" max="13591" width="12.33203125" style="543" bestFit="1" customWidth="1"/>
    <col min="13592" max="13824" width="9.109375" style="543"/>
    <col min="13825" max="13826" width="3.6640625" style="543" customWidth="1"/>
    <col min="13827" max="13827" width="10.109375" style="543" bestFit="1" customWidth="1"/>
    <col min="13828" max="13828" width="11.33203125" style="543" bestFit="1" customWidth="1"/>
    <col min="13829" max="13829" width="1.6640625" style="543" customWidth="1"/>
    <col min="13830" max="13830" width="11.44140625" style="543" bestFit="1" customWidth="1"/>
    <col min="13831" max="13831" width="2.6640625" style="543" customWidth="1"/>
    <col min="13832" max="13832" width="5.6640625" style="543" customWidth="1"/>
    <col min="13833" max="13833" width="1.6640625" style="543" customWidth="1"/>
    <col min="13834" max="13834" width="11.44140625" style="543" bestFit="1" customWidth="1"/>
    <col min="13835" max="13835" width="2.6640625" style="543" customWidth="1"/>
    <col min="13836" max="13836" width="5.6640625" style="543" customWidth="1"/>
    <col min="13837" max="13837" width="1.6640625" style="543" customWidth="1"/>
    <col min="13838" max="13838" width="11.44140625" style="543" bestFit="1" customWidth="1"/>
    <col min="13839" max="13839" width="2.6640625" style="543" customWidth="1"/>
    <col min="13840" max="13840" width="5.6640625" style="543" customWidth="1"/>
    <col min="13841" max="13841" width="1.6640625" style="543" customWidth="1"/>
    <col min="13842" max="13842" width="7.44140625" style="543" customWidth="1"/>
    <col min="13843" max="13843" width="6.33203125" style="543" customWidth="1"/>
    <col min="13844" max="13844" width="7.109375" style="543" bestFit="1" customWidth="1"/>
    <col min="13845" max="13845" width="9.33203125" style="543" bestFit="1" customWidth="1"/>
    <col min="13846" max="13846" width="1.6640625" style="543" customWidth="1"/>
    <col min="13847" max="13847" width="12.33203125" style="543" bestFit="1" customWidth="1"/>
    <col min="13848" max="14080" width="9.109375" style="543"/>
    <col min="14081" max="14082" width="3.6640625" style="543" customWidth="1"/>
    <col min="14083" max="14083" width="10.109375" style="543" bestFit="1" customWidth="1"/>
    <col min="14084" max="14084" width="11.33203125" style="543" bestFit="1" customWidth="1"/>
    <col min="14085" max="14085" width="1.6640625" style="543" customWidth="1"/>
    <col min="14086" max="14086" width="11.44140625" style="543" bestFit="1" customWidth="1"/>
    <col min="14087" max="14087" width="2.6640625" style="543" customWidth="1"/>
    <col min="14088" max="14088" width="5.6640625" style="543" customWidth="1"/>
    <col min="14089" max="14089" width="1.6640625" style="543" customWidth="1"/>
    <col min="14090" max="14090" width="11.44140625" style="543" bestFit="1" customWidth="1"/>
    <col min="14091" max="14091" width="2.6640625" style="543" customWidth="1"/>
    <col min="14092" max="14092" width="5.6640625" style="543" customWidth="1"/>
    <col min="14093" max="14093" width="1.6640625" style="543" customWidth="1"/>
    <col min="14094" max="14094" width="11.44140625" style="543" bestFit="1" customWidth="1"/>
    <col min="14095" max="14095" width="2.6640625" style="543" customWidth="1"/>
    <col min="14096" max="14096" width="5.6640625" style="543" customWidth="1"/>
    <col min="14097" max="14097" width="1.6640625" style="543" customWidth="1"/>
    <col min="14098" max="14098" width="7.44140625" style="543" customWidth="1"/>
    <col min="14099" max="14099" width="6.33203125" style="543" customWidth="1"/>
    <col min="14100" max="14100" width="7.109375" style="543" bestFit="1" customWidth="1"/>
    <col min="14101" max="14101" width="9.33203125" style="543" bestFit="1" customWidth="1"/>
    <col min="14102" max="14102" width="1.6640625" style="543" customWidth="1"/>
    <col min="14103" max="14103" width="12.33203125" style="543" bestFit="1" customWidth="1"/>
    <col min="14104" max="14336" width="9.109375" style="543"/>
    <col min="14337" max="14338" width="3.6640625" style="543" customWidth="1"/>
    <col min="14339" max="14339" width="10.109375" style="543" bestFit="1" customWidth="1"/>
    <col min="14340" max="14340" width="11.33203125" style="543" bestFit="1" customWidth="1"/>
    <col min="14341" max="14341" width="1.6640625" style="543" customWidth="1"/>
    <col min="14342" max="14342" width="11.44140625" style="543" bestFit="1" customWidth="1"/>
    <col min="14343" max="14343" width="2.6640625" style="543" customWidth="1"/>
    <col min="14344" max="14344" width="5.6640625" style="543" customWidth="1"/>
    <col min="14345" max="14345" width="1.6640625" style="543" customWidth="1"/>
    <col min="14346" max="14346" width="11.44140625" style="543" bestFit="1" customWidth="1"/>
    <col min="14347" max="14347" width="2.6640625" style="543" customWidth="1"/>
    <col min="14348" max="14348" width="5.6640625" style="543" customWidth="1"/>
    <col min="14349" max="14349" width="1.6640625" style="543" customWidth="1"/>
    <col min="14350" max="14350" width="11.44140625" style="543" bestFit="1" customWidth="1"/>
    <col min="14351" max="14351" width="2.6640625" style="543" customWidth="1"/>
    <col min="14352" max="14352" width="5.6640625" style="543" customWidth="1"/>
    <col min="14353" max="14353" width="1.6640625" style="543" customWidth="1"/>
    <col min="14354" max="14354" width="7.44140625" style="543" customWidth="1"/>
    <col min="14355" max="14355" width="6.33203125" style="543" customWidth="1"/>
    <col min="14356" max="14356" width="7.109375" style="543" bestFit="1" customWidth="1"/>
    <col min="14357" max="14357" width="9.33203125" style="543" bestFit="1" customWidth="1"/>
    <col min="14358" max="14358" width="1.6640625" style="543" customWidth="1"/>
    <col min="14359" max="14359" width="12.33203125" style="543" bestFit="1" customWidth="1"/>
    <col min="14360" max="14592" width="9.109375" style="543"/>
    <col min="14593" max="14594" width="3.6640625" style="543" customWidth="1"/>
    <col min="14595" max="14595" width="10.109375" style="543" bestFit="1" customWidth="1"/>
    <col min="14596" max="14596" width="11.33203125" style="543" bestFit="1" customWidth="1"/>
    <col min="14597" max="14597" width="1.6640625" style="543" customWidth="1"/>
    <col min="14598" max="14598" width="11.44140625" style="543" bestFit="1" customWidth="1"/>
    <col min="14599" max="14599" width="2.6640625" style="543" customWidth="1"/>
    <col min="14600" max="14600" width="5.6640625" style="543" customWidth="1"/>
    <col min="14601" max="14601" width="1.6640625" style="543" customWidth="1"/>
    <col min="14602" max="14602" width="11.44140625" style="543" bestFit="1" customWidth="1"/>
    <col min="14603" max="14603" width="2.6640625" style="543" customWidth="1"/>
    <col min="14604" max="14604" width="5.6640625" style="543" customWidth="1"/>
    <col min="14605" max="14605" width="1.6640625" style="543" customWidth="1"/>
    <col min="14606" max="14606" width="11.44140625" style="543" bestFit="1" customWidth="1"/>
    <col min="14607" max="14607" width="2.6640625" style="543" customWidth="1"/>
    <col min="14608" max="14608" width="5.6640625" style="543" customWidth="1"/>
    <col min="14609" max="14609" width="1.6640625" style="543" customWidth="1"/>
    <col min="14610" max="14610" width="7.44140625" style="543" customWidth="1"/>
    <col min="14611" max="14611" width="6.33203125" style="543" customWidth="1"/>
    <col min="14612" max="14612" width="7.109375" style="543" bestFit="1" customWidth="1"/>
    <col min="14613" max="14613" width="9.33203125" style="543" bestFit="1" customWidth="1"/>
    <col min="14614" max="14614" width="1.6640625" style="543" customWidth="1"/>
    <col min="14615" max="14615" width="12.33203125" style="543" bestFit="1" customWidth="1"/>
    <col min="14616" max="14848" width="9.109375" style="543"/>
    <col min="14849" max="14850" width="3.6640625" style="543" customWidth="1"/>
    <col min="14851" max="14851" width="10.109375" style="543" bestFit="1" customWidth="1"/>
    <col min="14852" max="14852" width="11.33203125" style="543" bestFit="1" customWidth="1"/>
    <col min="14853" max="14853" width="1.6640625" style="543" customWidth="1"/>
    <col min="14854" max="14854" width="11.44140625" style="543" bestFit="1" customWidth="1"/>
    <col min="14855" max="14855" width="2.6640625" style="543" customWidth="1"/>
    <col min="14856" max="14856" width="5.6640625" style="543" customWidth="1"/>
    <col min="14857" max="14857" width="1.6640625" style="543" customWidth="1"/>
    <col min="14858" max="14858" width="11.44140625" style="543" bestFit="1" customWidth="1"/>
    <col min="14859" max="14859" width="2.6640625" style="543" customWidth="1"/>
    <col min="14860" max="14860" width="5.6640625" style="543" customWidth="1"/>
    <col min="14861" max="14861" width="1.6640625" style="543" customWidth="1"/>
    <col min="14862" max="14862" width="11.44140625" style="543" bestFit="1" customWidth="1"/>
    <col min="14863" max="14863" width="2.6640625" style="543" customWidth="1"/>
    <col min="14864" max="14864" width="5.6640625" style="543" customWidth="1"/>
    <col min="14865" max="14865" width="1.6640625" style="543" customWidth="1"/>
    <col min="14866" max="14866" width="7.44140625" style="543" customWidth="1"/>
    <col min="14867" max="14867" width="6.33203125" style="543" customWidth="1"/>
    <col min="14868" max="14868" width="7.109375" style="543" bestFit="1" customWidth="1"/>
    <col min="14869" max="14869" width="9.33203125" style="543" bestFit="1" customWidth="1"/>
    <col min="14870" max="14870" width="1.6640625" style="543" customWidth="1"/>
    <col min="14871" max="14871" width="12.33203125" style="543" bestFit="1" customWidth="1"/>
    <col min="14872" max="15104" width="9.109375" style="543"/>
    <col min="15105" max="15106" width="3.6640625" style="543" customWidth="1"/>
    <col min="15107" max="15107" width="10.109375" style="543" bestFit="1" customWidth="1"/>
    <col min="15108" max="15108" width="11.33203125" style="543" bestFit="1" customWidth="1"/>
    <col min="15109" max="15109" width="1.6640625" style="543" customWidth="1"/>
    <col min="15110" max="15110" width="11.44140625" style="543" bestFit="1" customWidth="1"/>
    <col min="15111" max="15111" width="2.6640625" style="543" customWidth="1"/>
    <col min="15112" max="15112" width="5.6640625" style="543" customWidth="1"/>
    <col min="15113" max="15113" width="1.6640625" style="543" customWidth="1"/>
    <col min="15114" max="15114" width="11.44140625" style="543" bestFit="1" customWidth="1"/>
    <col min="15115" max="15115" width="2.6640625" style="543" customWidth="1"/>
    <col min="15116" max="15116" width="5.6640625" style="543" customWidth="1"/>
    <col min="15117" max="15117" width="1.6640625" style="543" customWidth="1"/>
    <col min="15118" max="15118" width="11.44140625" style="543" bestFit="1" customWidth="1"/>
    <col min="15119" max="15119" width="2.6640625" style="543" customWidth="1"/>
    <col min="15120" max="15120" width="5.6640625" style="543" customWidth="1"/>
    <col min="15121" max="15121" width="1.6640625" style="543" customWidth="1"/>
    <col min="15122" max="15122" width="7.44140625" style="543" customWidth="1"/>
    <col min="15123" max="15123" width="6.33203125" style="543" customWidth="1"/>
    <col min="15124" max="15124" width="7.109375" style="543" bestFit="1" customWidth="1"/>
    <col min="15125" max="15125" width="9.33203125" style="543" bestFit="1" customWidth="1"/>
    <col min="15126" max="15126" width="1.6640625" style="543" customWidth="1"/>
    <col min="15127" max="15127" width="12.33203125" style="543" bestFit="1" customWidth="1"/>
    <col min="15128" max="15360" width="9.109375" style="543"/>
    <col min="15361" max="15362" width="3.6640625" style="543" customWidth="1"/>
    <col min="15363" max="15363" width="10.109375" style="543" bestFit="1" customWidth="1"/>
    <col min="15364" max="15364" width="11.33203125" style="543" bestFit="1" customWidth="1"/>
    <col min="15365" max="15365" width="1.6640625" style="543" customWidth="1"/>
    <col min="15366" max="15366" width="11.44140625" style="543" bestFit="1" customWidth="1"/>
    <col min="15367" max="15367" width="2.6640625" style="543" customWidth="1"/>
    <col min="15368" max="15368" width="5.6640625" style="543" customWidth="1"/>
    <col min="15369" max="15369" width="1.6640625" style="543" customWidth="1"/>
    <col min="15370" max="15370" width="11.44140625" style="543" bestFit="1" customWidth="1"/>
    <col min="15371" max="15371" width="2.6640625" style="543" customWidth="1"/>
    <col min="15372" max="15372" width="5.6640625" style="543" customWidth="1"/>
    <col min="15373" max="15373" width="1.6640625" style="543" customWidth="1"/>
    <col min="15374" max="15374" width="11.44140625" style="543" bestFit="1" customWidth="1"/>
    <col min="15375" max="15375" width="2.6640625" style="543" customWidth="1"/>
    <col min="15376" max="15376" width="5.6640625" style="543" customWidth="1"/>
    <col min="15377" max="15377" width="1.6640625" style="543" customWidth="1"/>
    <col min="15378" max="15378" width="7.44140625" style="543" customWidth="1"/>
    <col min="15379" max="15379" width="6.33203125" style="543" customWidth="1"/>
    <col min="15380" max="15380" width="7.109375" style="543" bestFit="1" customWidth="1"/>
    <col min="15381" max="15381" width="9.33203125" style="543" bestFit="1" customWidth="1"/>
    <col min="15382" max="15382" width="1.6640625" style="543" customWidth="1"/>
    <col min="15383" max="15383" width="12.33203125" style="543" bestFit="1" customWidth="1"/>
    <col min="15384" max="15616" width="9.109375" style="543"/>
    <col min="15617" max="15618" width="3.6640625" style="543" customWidth="1"/>
    <col min="15619" max="15619" width="10.109375" style="543" bestFit="1" customWidth="1"/>
    <col min="15620" max="15620" width="11.33203125" style="543" bestFit="1" customWidth="1"/>
    <col min="15621" max="15621" width="1.6640625" style="543" customWidth="1"/>
    <col min="15622" max="15622" width="11.44140625" style="543" bestFit="1" customWidth="1"/>
    <col min="15623" max="15623" width="2.6640625" style="543" customWidth="1"/>
    <col min="15624" max="15624" width="5.6640625" style="543" customWidth="1"/>
    <col min="15625" max="15625" width="1.6640625" style="543" customWidth="1"/>
    <col min="15626" max="15626" width="11.44140625" style="543" bestFit="1" customWidth="1"/>
    <col min="15627" max="15627" width="2.6640625" style="543" customWidth="1"/>
    <col min="15628" max="15628" width="5.6640625" style="543" customWidth="1"/>
    <col min="15629" max="15629" width="1.6640625" style="543" customWidth="1"/>
    <col min="15630" max="15630" width="11.44140625" style="543" bestFit="1" customWidth="1"/>
    <col min="15631" max="15631" width="2.6640625" style="543" customWidth="1"/>
    <col min="15632" max="15632" width="5.6640625" style="543" customWidth="1"/>
    <col min="15633" max="15633" width="1.6640625" style="543" customWidth="1"/>
    <col min="15634" max="15634" width="7.44140625" style="543" customWidth="1"/>
    <col min="15635" max="15635" width="6.33203125" style="543" customWidth="1"/>
    <col min="15636" max="15636" width="7.109375" style="543" bestFit="1" customWidth="1"/>
    <col min="15637" max="15637" width="9.33203125" style="543" bestFit="1" customWidth="1"/>
    <col min="15638" max="15638" width="1.6640625" style="543" customWidth="1"/>
    <col min="15639" max="15639" width="12.33203125" style="543" bestFit="1" customWidth="1"/>
    <col min="15640" max="15872" width="9.109375" style="543"/>
    <col min="15873" max="15874" width="3.6640625" style="543" customWidth="1"/>
    <col min="15875" max="15875" width="10.109375" style="543" bestFit="1" customWidth="1"/>
    <col min="15876" max="15876" width="11.33203125" style="543" bestFit="1" customWidth="1"/>
    <col min="15877" max="15877" width="1.6640625" style="543" customWidth="1"/>
    <col min="15878" max="15878" width="11.44140625" style="543" bestFit="1" customWidth="1"/>
    <col min="15879" max="15879" width="2.6640625" style="543" customWidth="1"/>
    <col min="15880" max="15880" width="5.6640625" style="543" customWidth="1"/>
    <col min="15881" max="15881" width="1.6640625" style="543" customWidth="1"/>
    <col min="15882" max="15882" width="11.44140625" style="543" bestFit="1" customWidth="1"/>
    <col min="15883" max="15883" width="2.6640625" style="543" customWidth="1"/>
    <col min="15884" max="15884" width="5.6640625" style="543" customWidth="1"/>
    <col min="15885" max="15885" width="1.6640625" style="543" customWidth="1"/>
    <col min="15886" max="15886" width="11.44140625" style="543" bestFit="1" customWidth="1"/>
    <col min="15887" max="15887" width="2.6640625" style="543" customWidth="1"/>
    <col min="15888" max="15888" width="5.6640625" style="543" customWidth="1"/>
    <col min="15889" max="15889" width="1.6640625" style="543" customWidth="1"/>
    <col min="15890" max="15890" width="7.44140625" style="543" customWidth="1"/>
    <col min="15891" max="15891" width="6.33203125" style="543" customWidth="1"/>
    <col min="15892" max="15892" width="7.109375" style="543" bestFit="1" customWidth="1"/>
    <col min="15893" max="15893" width="9.33203125" style="543" bestFit="1" customWidth="1"/>
    <col min="15894" max="15894" width="1.6640625" style="543" customWidth="1"/>
    <col min="15895" max="15895" width="12.33203125" style="543" bestFit="1" customWidth="1"/>
    <col min="15896" max="16128" width="9.109375" style="543"/>
    <col min="16129" max="16130" width="3.6640625" style="543" customWidth="1"/>
    <col min="16131" max="16131" width="10.109375" style="543" bestFit="1" customWidth="1"/>
    <col min="16132" max="16132" width="11.33203125" style="543" bestFit="1" customWidth="1"/>
    <col min="16133" max="16133" width="1.6640625" style="543" customWidth="1"/>
    <col min="16134" max="16134" width="11.44140625" style="543" bestFit="1" customWidth="1"/>
    <col min="16135" max="16135" width="2.6640625" style="543" customWidth="1"/>
    <col min="16136" max="16136" width="5.6640625" style="543" customWidth="1"/>
    <col min="16137" max="16137" width="1.6640625" style="543" customWidth="1"/>
    <col min="16138" max="16138" width="11.44140625" style="543" bestFit="1" customWidth="1"/>
    <col min="16139" max="16139" width="2.6640625" style="543" customWidth="1"/>
    <col min="16140" max="16140" width="5.6640625" style="543" customWidth="1"/>
    <col min="16141" max="16141" width="1.6640625" style="543" customWidth="1"/>
    <col min="16142" max="16142" width="11.44140625" style="543" bestFit="1" customWidth="1"/>
    <col min="16143" max="16143" width="2.6640625" style="543" customWidth="1"/>
    <col min="16144" max="16144" width="5.6640625" style="543" customWidth="1"/>
    <col min="16145" max="16145" width="1.6640625" style="543" customWidth="1"/>
    <col min="16146" max="16146" width="7.44140625" style="543" customWidth="1"/>
    <col min="16147" max="16147" width="6.33203125" style="543" customWidth="1"/>
    <col min="16148" max="16148" width="7.109375" style="543" bestFit="1" customWidth="1"/>
    <col min="16149" max="16149" width="9.33203125" style="543" bestFit="1" customWidth="1"/>
    <col min="16150" max="16150" width="1.6640625" style="543" customWidth="1"/>
    <col min="16151" max="16151" width="12.33203125" style="543" bestFit="1" customWidth="1"/>
    <col min="16152" max="16384" width="9.109375" style="543"/>
  </cols>
  <sheetData>
    <row r="1" spans="1:23" ht="15.6">
      <c r="A1" s="542" t="s">
        <v>308</v>
      </c>
      <c r="C1" s="544">
        <f>INPUT!B7</f>
        <v>677</v>
      </c>
      <c r="D1" s="545"/>
      <c r="E1" s="545"/>
      <c r="F1" s="545"/>
      <c r="G1" s="545"/>
      <c r="H1" s="950" t="s">
        <v>309</v>
      </c>
      <c r="I1" s="950"/>
      <c r="J1" s="950"/>
      <c r="K1" s="950"/>
      <c r="L1" s="950"/>
      <c r="M1" s="950"/>
      <c r="N1" s="950"/>
      <c r="O1" s="950"/>
      <c r="P1" s="950"/>
      <c r="Q1" s="950"/>
      <c r="R1" s="545"/>
      <c r="S1" s="545"/>
      <c r="T1" s="545"/>
      <c r="U1" s="951">
        <f>D6</f>
        <v>107350009</v>
      </c>
      <c r="V1" s="950"/>
      <c r="W1" s="950"/>
    </row>
    <row r="2" spans="1:23">
      <c r="A2" s="543" t="s">
        <v>310</v>
      </c>
      <c r="C2" s="546">
        <f>INPUT!B5</f>
        <v>46031</v>
      </c>
      <c r="F2" s="548"/>
      <c r="J2" s="548"/>
      <c r="N2" s="548"/>
      <c r="P2" s="543"/>
    </row>
    <row r="3" spans="1:23" ht="4.5" customHeight="1" thickBot="1">
      <c r="P3" s="543"/>
    </row>
    <row r="4" spans="1:23" ht="13.8" thickTop="1">
      <c r="A4" s="549"/>
      <c r="B4" s="550"/>
      <c r="C4" s="550"/>
      <c r="D4" s="952" t="s">
        <v>311</v>
      </c>
      <c r="E4" s="953"/>
      <c r="F4" s="953"/>
      <c r="G4" s="953"/>
      <c r="H4" s="953"/>
      <c r="I4" s="953"/>
      <c r="J4" s="953"/>
      <c r="K4" s="953"/>
      <c r="L4" s="953"/>
      <c r="M4" s="953"/>
      <c r="N4" s="953"/>
      <c r="O4" s="953"/>
      <c r="P4" s="953"/>
      <c r="Q4" s="550"/>
      <c r="R4" s="954" t="s">
        <v>312</v>
      </c>
      <c r="S4" s="955"/>
      <c r="T4" s="955"/>
      <c r="U4" s="955"/>
      <c r="V4" s="955"/>
      <c r="W4" s="956"/>
    </row>
    <row r="5" spans="1:23">
      <c r="A5" s="551" t="s">
        <v>313</v>
      </c>
      <c r="D5" s="552" t="s">
        <v>10</v>
      </c>
      <c r="E5" s="553"/>
      <c r="F5" s="552" t="s">
        <v>314</v>
      </c>
      <c r="H5" s="552" t="s">
        <v>315</v>
      </c>
      <c r="I5" s="553"/>
      <c r="J5" s="552" t="s">
        <v>316</v>
      </c>
      <c r="L5" s="552" t="s">
        <v>315</v>
      </c>
      <c r="M5" s="553"/>
      <c r="N5" s="552" t="s">
        <v>317</v>
      </c>
      <c r="P5" s="552" t="s">
        <v>315</v>
      </c>
      <c r="Q5" s="554"/>
      <c r="R5" s="555" t="s">
        <v>318</v>
      </c>
      <c r="U5" s="547" t="s">
        <v>319</v>
      </c>
      <c r="W5" s="556" t="s">
        <v>320</v>
      </c>
    </row>
    <row r="6" spans="1:23">
      <c r="A6" s="551" t="s">
        <v>321</v>
      </c>
      <c r="D6" s="656">
        <f>INPUT!B30</f>
        <v>107350009</v>
      </c>
      <c r="E6" s="553"/>
      <c r="F6" s="656">
        <f>IFERROR(VLOOKUP(1, 'Arranged Comps'!A:U,2,FALSE),"")</f>
        <v>101370038</v>
      </c>
      <c r="I6" s="553"/>
      <c r="J6" s="557">
        <f>IFERROR(VLOOKUP(2, 'Arranged Comps'!A:U,2,FALSE),"")</f>
        <v>115200043</v>
      </c>
      <c r="M6" s="553"/>
      <c r="N6" s="557">
        <f>IFERROR(VLOOKUP(3, 'Arranged Comps'!A:U,2,FALSE),"")</f>
        <v>107350010</v>
      </c>
      <c r="Q6" s="554"/>
      <c r="R6" s="558">
        <v>0</v>
      </c>
      <c r="S6" s="559" t="s">
        <v>322</v>
      </c>
      <c r="U6" s="560">
        <v>0</v>
      </c>
      <c r="W6" s="561">
        <f>SUM((U6*R6)*12)</f>
        <v>0</v>
      </c>
    </row>
    <row r="7" spans="1:23" ht="21" customHeight="1">
      <c r="A7" s="551" t="s">
        <v>323</v>
      </c>
      <c r="D7" s="657" t="str">
        <f>INPUT!B31</f>
        <v>1215 GRAPHITE DR</v>
      </c>
      <c r="E7" s="553"/>
      <c r="F7" s="657" t="str">
        <f>IFERROR(VLOOKUP(1, 'Arranged Comps'!A:U,14,FALSE),"")</f>
        <v>255 GLIDER CIR</v>
      </c>
      <c r="H7" s="562"/>
      <c r="I7" s="553"/>
      <c r="J7" s="563" t="str">
        <f>IFERROR(VLOOKUP(2, 'Arranged Comps'!A:U,14,FALSE),"")</f>
        <v>127 RADIO RD</v>
      </c>
      <c r="L7" s="562"/>
      <c r="M7" s="553"/>
      <c r="N7" s="657" t="str">
        <f>IFERROR(VLOOKUP(3, 'Arranged Comps'!A:U,14,FALSE),"")</f>
        <v>1220 GRAPHITE DR</v>
      </c>
      <c r="P7" s="562"/>
      <c r="Q7" s="554"/>
      <c r="R7" s="558">
        <v>0</v>
      </c>
      <c r="S7" s="559" t="s">
        <v>324</v>
      </c>
      <c r="U7" s="564">
        <v>0</v>
      </c>
      <c r="W7" s="561">
        <f t="shared" ref="W7:W15" si="0">SUM((U7*R7)*12)</f>
        <v>0</v>
      </c>
    </row>
    <row r="8" spans="1:23">
      <c r="A8" s="551" t="s">
        <v>325</v>
      </c>
      <c r="D8" s="565">
        <f>INPUT!B24</f>
        <v>3928960</v>
      </c>
      <c r="E8" s="553"/>
      <c r="F8" s="565">
        <f>IFERROR(VLOOKUP(1, 'Arranged Comps'!A:U,5,FALSE),"")</f>
        <v>5300000</v>
      </c>
      <c r="H8" s="562"/>
      <c r="I8" s="553"/>
      <c r="J8" s="565">
        <f>IFERROR(VLOOKUP(2, 'Arranged Comps'!A:U,5,FALSE),"")</f>
        <v>2675000</v>
      </c>
      <c r="L8" s="562"/>
      <c r="M8" s="553"/>
      <c r="N8" s="565">
        <f>IFERROR(VLOOKUP(3, 'Arranged Comps'!A:U,5,FALSE),"")</f>
        <v>6400000</v>
      </c>
      <c r="P8" s="562"/>
      <c r="Q8" s="554"/>
      <c r="R8" s="558">
        <v>0</v>
      </c>
      <c r="S8" s="559" t="s">
        <v>324</v>
      </c>
      <c r="U8" s="564">
        <v>0</v>
      </c>
      <c r="W8" s="561">
        <f t="shared" si="0"/>
        <v>0</v>
      </c>
    </row>
    <row r="9" spans="1:23">
      <c r="A9" s="551" t="s">
        <v>326</v>
      </c>
      <c r="D9" s="566">
        <f>INPUT!B5</f>
        <v>46031</v>
      </c>
      <c r="E9" s="553"/>
      <c r="F9" s="566">
        <f>IFERROR(VLOOKUP(1, 'Arranged Comps'!A:U,3,FALSE),"")</f>
        <v>46114</v>
      </c>
      <c r="H9" s="567"/>
      <c r="I9" s="553"/>
      <c r="J9" s="566">
        <f>IFERROR(VLOOKUP(2, 'Arranged Comps'!A:U,3,FALSE),"")</f>
        <v>46021</v>
      </c>
      <c r="L9" s="567"/>
      <c r="M9" s="553"/>
      <c r="N9" s="566">
        <f>IFERROR(VLOOKUP(3, 'Arranged Comps'!A:U,3,FALSE),"")</f>
        <v>45817</v>
      </c>
      <c r="P9" s="567"/>
      <c r="Q9" s="554"/>
      <c r="R9" s="558">
        <v>0</v>
      </c>
      <c r="S9" s="559" t="s">
        <v>327</v>
      </c>
      <c r="U9" s="564">
        <v>0</v>
      </c>
      <c r="W9" s="561">
        <f t="shared" si="0"/>
        <v>0</v>
      </c>
    </row>
    <row r="10" spans="1:23" ht="13.8" thickBot="1">
      <c r="A10" s="551" t="s">
        <v>328</v>
      </c>
      <c r="D10" s="568">
        <f>D8</f>
        <v>3928960</v>
      </c>
      <c r="E10" s="553"/>
      <c r="F10" s="569">
        <f>ROUND(F8*(1+H9),0)</f>
        <v>5300000</v>
      </c>
      <c r="H10" s="570"/>
      <c r="I10" s="553"/>
      <c r="J10" s="569">
        <f>ROUND(J8*(1+L9),0)</f>
        <v>2675000</v>
      </c>
      <c r="L10" s="570"/>
      <c r="M10" s="553"/>
      <c r="N10" s="569">
        <f>ROUND(N8*(1+P9),0)</f>
        <v>6400000</v>
      </c>
      <c r="P10" s="570"/>
      <c r="Q10" s="554"/>
      <c r="R10" s="558">
        <v>0</v>
      </c>
      <c r="S10" s="559" t="s">
        <v>329</v>
      </c>
      <c r="U10" s="564">
        <v>0</v>
      </c>
      <c r="W10" s="561">
        <f t="shared" si="0"/>
        <v>0</v>
      </c>
    </row>
    <row r="11" spans="1:23" ht="12.75" customHeight="1">
      <c r="A11" s="957" t="s">
        <v>330</v>
      </c>
      <c r="B11" s="921"/>
      <c r="C11" s="921"/>
      <c r="D11" s="958" t="str">
        <f>INPUT!B32</f>
        <v>CORONA</v>
      </c>
      <c r="E11" s="553"/>
      <c r="F11" s="958" t="str">
        <f>IFERROR(VLOOKUP(1, 'Arranged Comps'!A:U,15,FALSE),"")</f>
        <v>CORONA</v>
      </c>
      <c r="I11" s="553"/>
      <c r="J11" s="958" t="str">
        <f>IFERROR(VLOOKUP(2, 'Arranged Comps'!A:U,15,FALSE),"")</f>
        <v>CORONA</v>
      </c>
      <c r="M11" s="553"/>
      <c r="N11" s="958" t="str">
        <f>IFERROR(VLOOKUP(3, 'Arranged Comps'!A:U,15,FALSE),"")</f>
        <v>CORONA</v>
      </c>
      <c r="Q11" s="554"/>
      <c r="R11" s="558">
        <v>0</v>
      </c>
      <c r="S11" s="559" t="s">
        <v>331</v>
      </c>
      <c r="U11" s="564">
        <v>0</v>
      </c>
      <c r="W11" s="561">
        <f t="shared" si="0"/>
        <v>0</v>
      </c>
    </row>
    <row r="12" spans="1:23">
      <c r="A12" s="957"/>
      <c r="B12" s="921"/>
      <c r="C12" s="921"/>
      <c r="D12" s="959"/>
      <c r="E12" s="553"/>
      <c r="F12" s="959"/>
      <c r="H12" s="562"/>
      <c r="I12" s="553"/>
      <c r="J12" s="959"/>
      <c r="L12" s="562"/>
      <c r="M12" s="553"/>
      <c r="N12" s="959"/>
      <c r="P12" s="562"/>
      <c r="Q12" s="554"/>
      <c r="R12" s="558">
        <v>4</v>
      </c>
      <c r="S12" s="559" t="s">
        <v>331</v>
      </c>
      <c r="U12" s="564">
        <v>2300</v>
      </c>
      <c r="W12" s="561">
        <f t="shared" si="0"/>
        <v>110400</v>
      </c>
    </row>
    <row r="13" spans="1:23">
      <c r="A13" s="551" t="s">
        <v>332</v>
      </c>
      <c r="D13" s="571">
        <v>4</v>
      </c>
      <c r="E13" s="553"/>
      <c r="F13" s="571">
        <v>4</v>
      </c>
      <c r="H13" s="562"/>
      <c r="I13" s="553"/>
      <c r="J13" s="571">
        <v>4</v>
      </c>
      <c r="L13" s="562"/>
      <c r="M13" s="553"/>
      <c r="N13" s="571">
        <v>4</v>
      </c>
      <c r="P13" s="562"/>
      <c r="Q13" s="554"/>
      <c r="R13" s="558">
        <v>0</v>
      </c>
      <c r="S13" s="559" t="s">
        <v>333</v>
      </c>
      <c r="U13" s="564">
        <v>0</v>
      </c>
      <c r="W13" s="561">
        <f t="shared" si="0"/>
        <v>0</v>
      </c>
    </row>
    <row r="14" spans="1:23">
      <c r="A14" s="551" t="s">
        <v>334</v>
      </c>
      <c r="D14" s="572">
        <f>INPUT!B35</f>
        <v>10490</v>
      </c>
      <c r="E14" s="553"/>
      <c r="F14" s="572">
        <f>IFERROR(VLOOKUP(1, 'Arranged Comps'!A:U,6,FALSE),"")</f>
        <v>17767</v>
      </c>
      <c r="H14" s="562"/>
      <c r="I14" s="553"/>
      <c r="J14" s="572">
        <f>IFERROR(VLOOKUP(2, 'Arranged Comps'!A:U,6,FALSE),"")</f>
        <v>6936</v>
      </c>
      <c r="L14" s="562"/>
      <c r="M14" s="553"/>
      <c r="N14" s="572">
        <f>IFERROR(VLOOKUP(3, 'Arranged Comps'!A:U,6,FALSE),"")</f>
        <v>16504</v>
      </c>
      <c r="P14" s="562"/>
      <c r="Q14" s="554"/>
      <c r="R14" s="558">
        <v>0</v>
      </c>
      <c r="S14" s="559" t="s">
        <v>335</v>
      </c>
      <c r="U14" s="564">
        <v>0</v>
      </c>
      <c r="W14" s="561">
        <f t="shared" si="0"/>
        <v>0</v>
      </c>
    </row>
    <row r="15" spans="1:23">
      <c r="A15" s="551" t="s">
        <v>336</v>
      </c>
      <c r="D15" s="573">
        <f>IF(OR(D14="", D13=""), 0, SUM(D14/D13))</f>
        <v>2622.5</v>
      </c>
      <c r="E15" s="574"/>
      <c r="F15" s="573">
        <f>IF(OR(F14="", F13=""), 0, SUM(F14/F13))</f>
        <v>4441.75</v>
      </c>
      <c r="H15" s="562"/>
      <c r="I15" s="553"/>
      <c r="J15" s="573">
        <f>IF(OR(J14="", J13=""), 0, SUM(J14/J13))</f>
        <v>1734</v>
      </c>
      <c r="L15" s="562"/>
      <c r="M15" s="553"/>
      <c r="N15" s="573">
        <f>IF(OR(N14="", N13=""), 0, SUM(N14/N13))</f>
        <v>4126</v>
      </c>
      <c r="P15" s="562"/>
      <c r="Q15" s="554"/>
      <c r="R15" s="558">
        <v>0</v>
      </c>
      <c r="S15" s="575" t="s">
        <v>337</v>
      </c>
      <c r="T15" s="576"/>
      <c r="U15" s="564">
        <v>0</v>
      </c>
      <c r="W15" s="561">
        <f t="shared" si="0"/>
        <v>0</v>
      </c>
    </row>
    <row r="16" spans="1:23">
      <c r="A16" s="551" t="s">
        <v>338</v>
      </c>
      <c r="D16" s="654">
        <f>INPUT!B37</f>
        <v>25</v>
      </c>
      <c r="E16" s="553"/>
      <c r="F16" s="571">
        <f>IFERROR(VLOOKUP(1, 'Arranged Comps'!A:U,9,FALSE),"")</f>
        <v>26</v>
      </c>
      <c r="H16" s="562"/>
      <c r="I16" s="553"/>
      <c r="J16" s="571">
        <f>IFERROR(VLOOKUP(2, 'Arranged Comps'!A:U,9,FALSE),"")</f>
        <v>21</v>
      </c>
      <c r="L16" s="562"/>
      <c r="M16" s="553"/>
      <c r="N16" s="571">
        <f>IFERROR(VLOOKUP(3, 'Arranged Comps'!A:U,9,FALSE),"")</f>
        <v>25</v>
      </c>
      <c r="P16" s="562"/>
      <c r="Q16" s="554"/>
      <c r="R16" s="577">
        <f>SUM(R6:R15)</f>
        <v>4</v>
      </c>
      <c r="S16" s="578" t="s">
        <v>339</v>
      </c>
      <c r="W16" s="579">
        <f>SUM(W6:W15)</f>
        <v>110400</v>
      </c>
    </row>
    <row r="17" spans="1:23">
      <c r="A17" s="551" t="s">
        <v>340</v>
      </c>
      <c r="D17" s="571" t="str">
        <f>INPUT!B41</f>
        <v>Average</v>
      </c>
      <c r="E17" s="553"/>
      <c r="F17" s="571" t="s">
        <v>16</v>
      </c>
      <c r="H17" s="562"/>
      <c r="I17" s="553"/>
      <c r="J17" s="571" t="s">
        <v>16</v>
      </c>
      <c r="L17" s="562"/>
      <c r="M17" s="553"/>
      <c r="N17" s="571" t="s">
        <v>16</v>
      </c>
      <c r="P17" s="562"/>
      <c r="Q17" s="554"/>
      <c r="R17" s="580"/>
      <c r="S17" s="581"/>
      <c r="T17" s="581"/>
      <c r="W17" s="582"/>
    </row>
    <row r="18" spans="1:23">
      <c r="A18" s="551" t="s">
        <v>341</v>
      </c>
      <c r="D18" s="571" t="str">
        <f>INPUT!B40</f>
        <v>C2.5</v>
      </c>
      <c r="E18" s="553"/>
      <c r="F18" s="571" t="s">
        <v>150</v>
      </c>
      <c r="H18" s="562"/>
      <c r="I18" s="553"/>
      <c r="J18" s="583" t="s">
        <v>150</v>
      </c>
      <c r="L18" s="562"/>
      <c r="M18" s="553"/>
      <c r="N18" s="571" t="s">
        <v>150</v>
      </c>
      <c r="P18" s="562"/>
      <c r="Q18" s="554"/>
      <c r="R18" s="584"/>
      <c r="U18" s="578" t="s">
        <v>342</v>
      </c>
      <c r="W18" s="585">
        <f>IF(W16=0,0,SUM(W16/12)/(D13*D15))</f>
        <v>0.87702573879885604</v>
      </c>
    </row>
    <row r="19" spans="1:23">
      <c r="A19" s="551" t="s">
        <v>343</v>
      </c>
      <c r="D19" s="655">
        <f>INPUT!B38</f>
        <v>0.68</v>
      </c>
      <c r="E19" s="553"/>
      <c r="F19" s="571">
        <f>IFERROR(VLOOKUP(1, 'Arranged Comps'!A:U,16,FALSE),"")</f>
        <v>0.96</v>
      </c>
      <c r="H19" s="562"/>
      <c r="I19" s="553"/>
      <c r="J19" s="571">
        <f>IFERROR(VLOOKUP(2, 'Arranged Comps'!A:U,16,FALSE),"")</f>
        <v>0.51</v>
      </c>
      <c r="L19" s="562"/>
      <c r="M19" s="553"/>
      <c r="N19" s="571">
        <f>IFERROR(VLOOKUP(3, 'Arranged Comps'!A:U,16,FALSE),"")</f>
        <v>0.99</v>
      </c>
      <c r="P19" s="562"/>
      <c r="Q19" s="554"/>
      <c r="R19" s="584"/>
      <c r="W19" s="582"/>
    </row>
    <row r="20" spans="1:23" ht="13.8">
      <c r="A20" s="551" t="s">
        <v>344</v>
      </c>
      <c r="D20" s="586">
        <f>IF(OR(D19="", D13=""), 0, SUM(D19*43560)/D13)</f>
        <v>7405.2000000000007</v>
      </c>
      <c r="E20" s="553"/>
      <c r="F20" s="586">
        <f>IF(OR(F19="", F13=""), 0, SUM(F19*43560)/F13)</f>
        <v>10454.4</v>
      </c>
      <c r="H20" s="562"/>
      <c r="I20" s="553"/>
      <c r="J20" s="586">
        <f>IF(OR(J19="", J13=""), 0, SUM(J19*43560)/J13)</f>
        <v>5553.9000000000005</v>
      </c>
      <c r="L20" s="562"/>
      <c r="M20" s="553"/>
      <c r="N20" s="586">
        <f>IF(OR(N19="", N13=""), 0, SUM(N19*43560)/N13)</f>
        <v>10781.1</v>
      </c>
      <c r="P20" s="562"/>
      <c r="Q20" s="554"/>
      <c r="R20" s="587" t="s">
        <v>345</v>
      </c>
      <c r="W20" s="588">
        <f>W16</f>
        <v>110400</v>
      </c>
    </row>
    <row r="21" spans="1:23">
      <c r="A21" s="551" t="s">
        <v>346</v>
      </c>
      <c r="D21" s="589"/>
      <c r="E21" s="553"/>
      <c r="F21" s="589"/>
      <c r="H21" s="590"/>
      <c r="I21" s="553"/>
      <c r="J21" s="589"/>
      <c r="L21" s="590"/>
      <c r="M21" s="553"/>
      <c r="N21" s="589"/>
      <c r="P21" s="590"/>
      <c r="Q21" s="554"/>
      <c r="R21" s="584"/>
      <c r="S21" s="543" t="s">
        <v>347</v>
      </c>
      <c r="U21" s="591">
        <f>INPUT!B47</f>
        <v>0.05</v>
      </c>
      <c r="W21" s="579">
        <f>SUM(W20*U21)</f>
        <v>5520</v>
      </c>
    </row>
    <row r="22" spans="1:23">
      <c r="A22" s="946" t="s">
        <v>348</v>
      </c>
      <c r="B22" s="947"/>
      <c r="C22" s="947"/>
      <c r="D22" s="592"/>
      <c r="E22" s="553"/>
      <c r="F22" s="589"/>
      <c r="H22" s="590"/>
      <c r="I22" s="553"/>
      <c r="J22" s="593"/>
      <c r="L22" s="590"/>
      <c r="M22" s="553"/>
      <c r="N22" s="593"/>
      <c r="P22" s="590"/>
      <c r="Q22" s="554"/>
      <c r="R22" s="584"/>
      <c r="S22" s="543" t="s">
        <v>349</v>
      </c>
      <c r="W22" s="594">
        <v>0</v>
      </c>
    </row>
    <row r="23" spans="1:23" ht="13.8">
      <c r="A23" s="595" t="s">
        <v>350</v>
      </c>
      <c r="E23" s="553"/>
      <c r="I23" s="553"/>
      <c r="M23" s="553"/>
      <c r="Q23" s="554"/>
      <c r="R23" s="587" t="s">
        <v>351</v>
      </c>
      <c r="W23" s="588">
        <f>SUM((W20-W21)+W22)</f>
        <v>104880</v>
      </c>
    </row>
    <row r="24" spans="1:23">
      <c r="A24" s="551"/>
      <c r="B24" s="596" t="s">
        <v>352</v>
      </c>
      <c r="D24" s="565">
        <f>IF(ISNUMBER(D8)=FALSE, 0, SUM(D8/D13))</f>
        <v>982240</v>
      </c>
      <c r="E24" s="553"/>
      <c r="F24" s="573">
        <f>IF(OR(F10="",F13=""), 0, SUM(F10/F13))</f>
        <v>1325000</v>
      </c>
      <c r="G24" s="547" t="s">
        <v>20</v>
      </c>
      <c r="H24" s="597">
        <f>SUM(H12:H22)</f>
        <v>0</v>
      </c>
      <c r="I24" s="553"/>
      <c r="J24" s="573">
        <f>IF(OR(J10="",J13=""), 0, SUM(J10/J13))</f>
        <v>668750</v>
      </c>
      <c r="K24" s="547" t="s">
        <v>20</v>
      </c>
      <c r="L24" s="597">
        <f>SUM(L12:L22)</f>
        <v>0</v>
      </c>
      <c r="M24" s="553"/>
      <c r="N24" s="573">
        <f>IF(OR(N10="",N13=""), 0, SUM(N10/N13))</f>
        <v>1600000</v>
      </c>
      <c r="O24" s="547" t="s">
        <v>20</v>
      </c>
      <c r="P24" s="597">
        <f>SUM(P11:P23)</f>
        <v>0</v>
      </c>
      <c r="Q24" s="554"/>
      <c r="R24" s="584"/>
      <c r="S24" s="543" t="s">
        <v>353</v>
      </c>
      <c r="U24" s="591">
        <f>INPUT!B48</f>
        <v>0.05</v>
      </c>
      <c r="W24" s="561">
        <f>SUM(W23*U24)</f>
        <v>5244</v>
      </c>
    </row>
    <row r="25" spans="1:23" ht="17.25" customHeight="1">
      <c r="A25" s="595" t="s">
        <v>354</v>
      </c>
      <c r="E25" s="553"/>
      <c r="F25" s="948">
        <f>SUM((F24*H24)+F24)</f>
        <v>1325000</v>
      </c>
      <c r="G25" s="948"/>
      <c r="H25" s="948"/>
      <c r="I25" s="553"/>
      <c r="J25" s="948">
        <f>SUM((J24*L24)+J24)</f>
        <v>668750</v>
      </c>
      <c r="K25" s="948"/>
      <c r="L25" s="948"/>
      <c r="M25" s="553"/>
      <c r="N25" s="948">
        <f>SUM((N24*P24)+N24)</f>
        <v>1600000</v>
      </c>
      <c r="O25" s="948"/>
      <c r="P25" s="948"/>
      <c r="Q25" s="554"/>
      <c r="R25" s="584"/>
      <c r="S25" s="598" t="s">
        <v>355</v>
      </c>
      <c r="T25" s="599"/>
      <c r="U25" s="600">
        <f>SUM(W24/R16)</f>
        <v>1311</v>
      </c>
      <c r="W25" s="579"/>
    </row>
    <row r="26" spans="1:23" ht="12.75" customHeight="1">
      <c r="A26" s="551"/>
      <c r="R26" s="587" t="s">
        <v>356</v>
      </c>
      <c r="W26" s="588">
        <f>SUM(W23-W24)</f>
        <v>99636</v>
      </c>
    </row>
    <row r="27" spans="1:23" ht="13.8">
      <c r="A27" s="601" t="s">
        <v>357</v>
      </c>
      <c r="G27" s="543"/>
      <c r="H27" s="602" t="s">
        <v>358</v>
      </c>
      <c r="J27" s="603">
        <v>312500</v>
      </c>
      <c r="K27" s="547" t="s">
        <v>20</v>
      </c>
      <c r="L27" s="604">
        <f>D13</f>
        <v>4</v>
      </c>
      <c r="M27" s="605" t="s">
        <v>359</v>
      </c>
      <c r="N27" s="949">
        <f>SUM(J27*L27)</f>
        <v>1250000</v>
      </c>
      <c r="O27" s="949"/>
      <c r="P27" s="949"/>
      <c r="R27" s="606"/>
      <c r="S27" s="607"/>
      <c r="T27" s="552" t="s">
        <v>360</v>
      </c>
      <c r="W27" s="579"/>
    </row>
    <row r="28" spans="1:23" ht="13.8" thickBot="1">
      <c r="A28" s="551"/>
      <c r="R28" s="608" t="s">
        <v>348</v>
      </c>
      <c r="S28" s="609" t="s">
        <v>361</v>
      </c>
      <c r="T28" s="552" t="s">
        <v>362</v>
      </c>
      <c r="W28" s="579"/>
    </row>
    <row r="29" spans="1:23" ht="13.8">
      <c r="A29" s="610" t="s">
        <v>363</v>
      </c>
      <c r="B29" s="611"/>
      <c r="C29" s="611"/>
      <c r="D29" s="612"/>
      <c r="E29" s="613"/>
      <c r="F29" s="613"/>
      <c r="G29" s="613"/>
      <c r="H29" s="613"/>
      <c r="I29" s="613"/>
      <c r="J29" s="613"/>
      <c r="K29" s="613"/>
      <c r="L29" s="613"/>
      <c r="M29" s="613"/>
      <c r="N29" s="613"/>
      <c r="O29" s="613"/>
      <c r="P29" s="613"/>
      <c r="Q29" s="614"/>
      <c r="R29" s="615">
        <f>INPUT!B49</f>
        <v>5.2499999999999998E-2</v>
      </c>
      <c r="S29" s="609" t="s">
        <v>361</v>
      </c>
      <c r="T29" s="616">
        <f>INPUT!B50</f>
        <v>0</v>
      </c>
      <c r="W29" s="617">
        <f>SUM(R29+T29)</f>
        <v>5.2499999999999998E-2</v>
      </c>
    </row>
    <row r="30" spans="1:23">
      <c r="A30" s="618" t="s">
        <v>364</v>
      </c>
      <c r="B30" s="554"/>
      <c r="C30" s="554"/>
      <c r="D30" s="553"/>
      <c r="E30" s="936"/>
      <c r="F30" s="936"/>
      <c r="G30" s="936"/>
      <c r="H30" s="936"/>
      <c r="I30" s="936"/>
      <c r="J30" s="936"/>
      <c r="K30" s="936"/>
      <c r="L30" s="936"/>
      <c r="M30" s="936"/>
      <c r="N30" s="936"/>
      <c r="O30" s="936"/>
      <c r="P30" s="936"/>
      <c r="R30" s="584"/>
      <c r="W30" s="582"/>
    </row>
    <row r="31" spans="1:23" ht="13.8">
      <c r="A31" s="935"/>
      <c r="B31" s="936"/>
      <c r="C31" s="936"/>
      <c r="D31" s="936"/>
      <c r="E31" s="936"/>
      <c r="F31" s="936"/>
      <c r="G31" s="936"/>
      <c r="H31" s="936"/>
      <c r="I31" s="936"/>
      <c r="J31" s="936"/>
      <c r="K31" s="936"/>
      <c r="L31" s="936"/>
      <c r="M31" s="936"/>
      <c r="N31" s="936"/>
      <c r="O31" s="936"/>
      <c r="P31" s="936"/>
      <c r="R31" s="619" t="s">
        <v>365</v>
      </c>
      <c r="V31" s="620" t="s">
        <v>366</v>
      </c>
      <c r="W31" s="561">
        <f>IF(OR(W26=0, W29=0),0,SUM(W26/W29))</f>
        <v>1897828.5714285716</v>
      </c>
    </row>
    <row r="32" spans="1:23" ht="14.25" customHeight="1">
      <c r="A32" s="937"/>
      <c r="B32" s="938"/>
      <c r="C32" s="938"/>
      <c r="D32" s="938"/>
      <c r="E32" s="938"/>
      <c r="F32" s="938"/>
      <c r="G32" s="938"/>
      <c r="H32" s="938"/>
      <c r="I32" s="938"/>
      <c r="J32" s="938"/>
      <c r="K32" s="938"/>
      <c r="L32" s="938"/>
      <c r="M32" s="938"/>
      <c r="N32" s="938"/>
      <c r="O32" s="938"/>
      <c r="P32" s="938"/>
      <c r="R32" s="621" t="s">
        <v>367</v>
      </c>
      <c r="S32" s="543" t="s">
        <v>368</v>
      </c>
      <c r="W32" s="622"/>
    </row>
    <row r="33" spans="1:26">
      <c r="A33" s="937"/>
      <c r="B33" s="938"/>
      <c r="C33" s="938"/>
      <c r="D33" s="938"/>
      <c r="E33" s="938"/>
      <c r="F33" s="938"/>
      <c r="G33" s="938"/>
      <c r="H33" s="938"/>
      <c r="I33" s="938"/>
      <c r="J33" s="938"/>
      <c r="K33" s="938"/>
      <c r="L33" s="938"/>
      <c r="M33" s="938"/>
      <c r="N33" s="938"/>
      <c r="O33" s="938"/>
      <c r="P33" s="938"/>
      <c r="R33" s="584"/>
      <c r="S33" s="543" t="s">
        <v>369</v>
      </c>
      <c r="W33" s="623"/>
    </row>
    <row r="34" spans="1:26" ht="13.8">
      <c r="A34" s="624" t="s">
        <v>370</v>
      </c>
      <c r="B34" s="625"/>
      <c r="C34" s="625"/>
      <c r="D34" s="625"/>
      <c r="E34" s="939"/>
      <c r="F34" s="939"/>
      <c r="G34" s="939"/>
      <c r="H34" s="939"/>
      <c r="I34" s="939"/>
      <c r="J34" s="939"/>
      <c r="K34" s="939"/>
      <c r="L34" s="939"/>
      <c r="M34" s="939"/>
      <c r="N34" s="939"/>
      <c r="O34" s="939"/>
      <c r="P34" s="939"/>
      <c r="R34" s="619" t="s">
        <v>371</v>
      </c>
      <c r="V34" s="620" t="s">
        <v>366</v>
      </c>
      <c r="W34" s="579">
        <f>SUM(W31:W33)</f>
        <v>1897828.5714285716</v>
      </c>
    </row>
    <row r="35" spans="1:26">
      <c r="A35" s="937"/>
      <c r="B35" s="938"/>
      <c r="C35" s="938"/>
      <c r="D35" s="938"/>
      <c r="E35" s="938"/>
      <c r="F35" s="938"/>
      <c r="G35" s="938"/>
      <c r="H35" s="938"/>
      <c r="I35" s="938"/>
      <c r="J35" s="938"/>
      <c r="K35" s="938"/>
      <c r="L35" s="938"/>
      <c r="M35" s="938"/>
      <c r="N35" s="938"/>
      <c r="O35" s="938"/>
      <c r="P35" s="938"/>
      <c r="R35" s="584"/>
      <c r="W35" s="579"/>
    </row>
    <row r="36" spans="1:26" ht="14.4">
      <c r="A36" s="937"/>
      <c r="B36" s="938"/>
      <c r="C36" s="938"/>
      <c r="D36" s="938"/>
      <c r="E36" s="938"/>
      <c r="F36" s="938"/>
      <c r="G36" s="938"/>
      <c r="H36" s="938"/>
      <c r="I36" s="938"/>
      <c r="J36" s="938"/>
      <c r="K36" s="938"/>
      <c r="L36" s="938"/>
      <c r="M36" s="938"/>
      <c r="N36" s="938"/>
      <c r="O36" s="938"/>
      <c r="P36" s="938"/>
      <c r="R36" s="606" t="s">
        <v>372</v>
      </c>
      <c r="T36" s="607"/>
      <c r="V36" s="620" t="s">
        <v>366</v>
      </c>
      <c r="W36" s="626">
        <f>ROUND(W34,-3)</f>
        <v>1898000</v>
      </c>
    </row>
    <row r="37" spans="1:26" ht="14.4" customHeight="1">
      <c r="A37" s="940" t="s">
        <v>373</v>
      </c>
      <c r="B37" s="941"/>
      <c r="C37" s="941"/>
      <c r="D37" s="941"/>
      <c r="E37" s="942"/>
      <c r="F37" s="942"/>
      <c r="G37" s="942"/>
      <c r="H37" s="942"/>
      <c r="I37" s="942"/>
      <c r="J37" s="942"/>
      <c r="K37" s="942"/>
      <c r="L37" s="942"/>
      <c r="M37" s="942"/>
      <c r="N37" s="942"/>
      <c r="O37" s="942"/>
      <c r="P37" s="942"/>
      <c r="R37" s="584"/>
      <c r="W37" s="582"/>
    </row>
    <row r="38" spans="1:26" ht="13.8">
      <c r="A38" s="943" t="s">
        <v>374</v>
      </c>
      <c r="B38" s="944"/>
      <c r="C38" s="944"/>
      <c r="D38" s="944"/>
      <c r="E38" s="944"/>
      <c r="F38" s="944"/>
      <c r="G38" s="944"/>
      <c r="H38" s="944"/>
      <c r="I38" s="944"/>
      <c r="J38" s="944"/>
      <c r="K38" s="944"/>
      <c r="L38" s="944"/>
      <c r="M38" s="944"/>
      <c r="N38" s="944"/>
      <c r="O38" s="944"/>
      <c r="P38" s="944"/>
      <c r="R38" s="587" t="s">
        <v>375</v>
      </c>
      <c r="U38" s="627">
        <f>SUM(W36/R16)</f>
        <v>474500</v>
      </c>
      <c r="W38" s="582"/>
    </row>
    <row r="39" spans="1:26" ht="14.25" customHeight="1" thickBot="1">
      <c r="A39" s="943"/>
      <c r="B39" s="944"/>
      <c r="C39" s="944"/>
      <c r="D39" s="944"/>
      <c r="E39" s="944"/>
      <c r="F39" s="944"/>
      <c r="G39" s="944"/>
      <c r="H39" s="944"/>
      <c r="I39" s="944"/>
      <c r="J39" s="944"/>
      <c r="K39" s="944"/>
      <c r="L39" s="944"/>
      <c r="M39" s="944"/>
      <c r="N39" s="944"/>
      <c r="O39" s="944"/>
      <c r="P39" s="944"/>
      <c r="R39" s="628"/>
      <c r="S39" s="629"/>
      <c r="T39" s="629"/>
      <c r="U39" s="629"/>
      <c r="V39" s="629"/>
      <c r="W39" s="630"/>
    </row>
    <row r="40" spans="1:26">
      <c r="A40" s="618" t="s">
        <v>376</v>
      </c>
      <c r="B40" s="554"/>
      <c r="C40" s="554"/>
      <c r="D40" s="553"/>
      <c r="E40" s="945"/>
      <c r="F40" s="939"/>
      <c r="G40" s="939"/>
      <c r="H40" s="939"/>
      <c r="I40" s="939"/>
      <c r="J40" s="939"/>
      <c r="K40" s="939"/>
      <c r="L40" s="939"/>
      <c r="M40" s="939"/>
      <c r="N40" s="939"/>
      <c r="O40" s="939"/>
      <c r="P40" s="939"/>
      <c r="R40" s="932" t="s">
        <v>241</v>
      </c>
      <c r="S40" s="933"/>
      <c r="T40" s="933"/>
      <c r="U40" s="933"/>
      <c r="V40" s="933"/>
      <c r="W40" s="934"/>
    </row>
    <row r="41" spans="1:26" ht="13.8">
      <c r="A41" s="918"/>
      <c r="B41" s="919"/>
      <c r="C41" s="919"/>
      <c r="D41" s="919"/>
      <c r="E41" s="919"/>
      <c r="F41" s="919"/>
      <c r="G41" s="919"/>
      <c r="H41" s="919"/>
      <c r="I41" s="919"/>
      <c r="J41" s="919"/>
      <c r="K41" s="919"/>
      <c r="L41" s="919"/>
      <c r="M41" s="919"/>
      <c r="N41" s="919"/>
      <c r="O41" s="919"/>
      <c r="P41" s="919"/>
      <c r="R41" s="631" t="s">
        <v>377</v>
      </c>
      <c r="S41" s="559" t="s">
        <v>378</v>
      </c>
      <c r="T41" s="920">
        <v>30</v>
      </c>
      <c r="U41" s="921"/>
      <c r="W41" s="632">
        <f>MROUND((T41*(D19*43560)),1000)</f>
        <v>889000</v>
      </c>
      <c r="Z41" s="576"/>
    </row>
    <row r="42" spans="1:26">
      <c r="A42" s="922"/>
      <c r="B42" s="923"/>
      <c r="C42" s="923"/>
      <c r="D42" s="923"/>
      <c r="E42" s="923"/>
      <c r="F42" s="923"/>
      <c r="G42" s="923"/>
      <c r="H42" s="923"/>
      <c r="I42" s="923"/>
      <c r="J42" s="923"/>
      <c r="K42" s="923"/>
      <c r="L42" s="923"/>
      <c r="M42" s="923"/>
      <c r="N42" s="923"/>
      <c r="O42" s="923"/>
      <c r="P42" s="923"/>
      <c r="R42" s="584"/>
      <c r="W42" s="582"/>
    </row>
    <row r="43" spans="1:26" ht="13.8" thickBot="1">
      <c r="A43" s="924"/>
      <c r="B43" s="925"/>
      <c r="C43" s="925"/>
      <c r="D43" s="925"/>
      <c r="E43" s="925"/>
      <c r="F43" s="925"/>
      <c r="G43" s="633"/>
      <c r="H43" s="633"/>
      <c r="I43" s="633"/>
      <c r="J43" s="633"/>
      <c r="K43" s="633"/>
      <c r="L43" s="633"/>
      <c r="M43" s="633"/>
      <c r="N43" s="633"/>
      <c r="O43" s="633"/>
      <c r="P43" s="633"/>
      <c r="R43" s="631" t="s">
        <v>253</v>
      </c>
      <c r="T43" s="634" t="s">
        <v>378</v>
      </c>
      <c r="U43" s="635">
        <v>0</v>
      </c>
      <c r="W43" s="582"/>
    </row>
    <row r="44" spans="1:26" ht="14.4" thickTop="1">
      <c r="A44" s="926"/>
      <c r="B44" s="927"/>
      <c r="C44" s="927"/>
      <c r="D44" s="927"/>
      <c r="E44" s="927"/>
      <c r="F44" s="927"/>
      <c r="G44" s="543"/>
      <c r="H44" s="636"/>
      <c r="I44" s="637"/>
      <c r="J44" s="637"/>
      <c r="K44" s="637"/>
      <c r="L44" s="637"/>
      <c r="M44" s="637"/>
      <c r="N44" s="637"/>
      <c r="O44" s="637"/>
      <c r="P44" s="638"/>
      <c r="R44" s="584"/>
      <c r="T44" s="602" t="s">
        <v>379</v>
      </c>
      <c r="U44" s="639">
        <v>0</v>
      </c>
      <c r="W44" s="640">
        <f>SUM((U44*43560)*U43)</f>
        <v>0</v>
      </c>
    </row>
    <row r="45" spans="1:26" ht="16.8">
      <c r="A45" s="928"/>
      <c r="B45" s="929"/>
      <c r="C45" s="929"/>
      <c r="D45" s="929"/>
      <c r="E45" s="929"/>
      <c r="F45" s="929"/>
      <c r="G45" s="641"/>
      <c r="H45" s="642" t="s">
        <v>380</v>
      </c>
      <c r="J45" s="641"/>
      <c r="K45" s="620"/>
      <c r="L45" s="643"/>
      <c r="M45" s="607" t="s">
        <v>366</v>
      </c>
      <c r="N45" s="930">
        <v>1250000</v>
      </c>
      <c r="O45" s="930"/>
      <c r="P45" s="931"/>
      <c r="R45" s="631" t="s">
        <v>381</v>
      </c>
      <c r="W45" s="644">
        <f>SUM(N45-W41)</f>
        <v>361000</v>
      </c>
    </row>
    <row r="46" spans="1:26" ht="14.4" thickBot="1">
      <c r="A46" s="916" t="s">
        <v>382</v>
      </c>
      <c r="B46" s="917"/>
      <c r="C46" s="917"/>
      <c r="D46" s="917"/>
      <c r="E46" s="917"/>
      <c r="F46" s="917"/>
      <c r="G46" s="645"/>
      <c r="H46" s="646"/>
      <c r="I46" s="645"/>
      <c r="J46" s="645"/>
      <c r="K46" s="645"/>
      <c r="L46" s="645"/>
      <c r="M46" s="645"/>
      <c r="N46" s="645" t="s">
        <v>383</v>
      </c>
      <c r="O46" s="645"/>
      <c r="P46" s="647"/>
      <c r="Q46" s="648"/>
      <c r="R46" s="649"/>
      <c r="S46" s="648"/>
      <c r="T46" s="648"/>
      <c r="U46" s="648" t="s">
        <v>384</v>
      </c>
      <c r="V46" s="650" t="s">
        <v>366</v>
      </c>
      <c r="W46" s="651">
        <f>SUM(W41+W44+W45)</f>
        <v>1250000</v>
      </c>
    </row>
    <row r="47" spans="1:26" ht="13.8" thickTop="1">
      <c r="A47" s="576"/>
      <c r="W47" s="652"/>
    </row>
    <row r="48" spans="1:26">
      <c r="W48" s="652"/>
    </row>
    <row r="49" spans="6:23">
      <c r="W49" s="652"/>
    </row>
    <row r="50" spans="6:23">
      <c r="N50" s="653"/>
      <c r="W50" s="652"/>
    </row>
    <row r="55" spans="6:23">
      <c r="F55" s="653"/>
    </row>
  </sheetData>
  <mergeCells count="35">
    <mergeCell ref="A46:F46"/>
    <mergeCell ref="A41:P41"/>
    <mergeCell ref="T41:U41"/>
    <mergeCell ref="A42:P42"/>
    <mergeCell ref="A43:F43"/>
    <mergeCell ref="A44:F44"/>
    <mergeCell ref="A45:F45"/>
    <mergeCell ref="N45:P45"/>
    <mergeCell ref="R40:W40"/>
    <mergeCell ref="A31:P31"/>
    <mergeCell ref="A32:P32"/>
    <mergeCell ref="A33:P33"/>
    <mergeCell ref="E34:P34"/>
    <mergeCell ref="A35:P35"/>
    <mergeCell ref="A36:P36"/>
    <mergeCell ref="A37:D37"/>
    <mergeCell ref="E37:P37"/>
    <mergeCell ref="A38:P38"/>
    <mergeCell ref="A39:P39"/>
    <mergeCell ref="E40:P40"/>
    <mergeCell ref="A22:C22"/>
    <mergeCell ref="F25:H25"/>
    <mergeCell ref="J25:L25"/>
    <mergeCell ref="N25:P25"/>
    <mergeCell ref="N27:P27"/>
    <mergeCell ref="E30:P30"/>
    <mergeCell ref="H1:Q1"/>
    <mergeCell ref="U1:W1"/>
    <mergeCell ref="D4:P4"/>
    <mergeCell ref="R4:W4"/>
    <mergeCell ref="A11:C12"/>
    <mergeCell ref="D11:D12"/>
    <mergeCell ref="F11:F12"/>
    <mergeCell ref="J11:J12"/>
    <mergeCell ref="N11:N12"/>
  </mergeCells>
  <printOptions horizontalCentered="1" verticalCentered="1"/>
  <pageMargins left="0.25" right="0.25" top="0.75" bottom="0.75" header="0.3" footer="0.3"/>
  <pageSetup scale="82" orientation="landscape" r:id="rId1"/>
  <headerFooter alignWithMargins="0">
    <oddFooter xml:space="preserve">&amp;L
</oddFooter>
  </headerFooter>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400C5D-0FC3-496A-BE46-23F001F31343}">
  <sheetPr codeName="Sheet29">
    <tabColor rgb="FF7030A0"/>
    <pageSetUpPr fitToPage="1"/>
  </sheetPr>
  <dimension ref="A1:BV76"/>
  <sheetViews>
    <sheetView showGridLines="0" showZeros="0" showOutlineSymbols="0" zoomScaleNormal="100" zoomScaleSheetLayoutView="100" zoomScalePageLayoutView="190" workbookViewId="0">
      <selection sqref="A1:G1"/>
    </sheetView>
  </sheetViews>
  <sheetFormatPr defaultRowHeight="13.8"/>
  <cols>
    <col min="1" max="1" width="0.33203125" style="110" customWidth="1"/>
    <col min="2" max="2" width="31.33203125" style="110" customWidth="1"/>
    <col min="3" max="6" width="25.6640625" style="110" customWidth="1"/>
    <col min="7" max="7" width="25.6640625" style="110" hidden="1" customWidth="1"/>
    <col min="8" max="8" width="2.6640625" style="110" customWidth="1"/>
    <col min="9" max="9" width="6.5546875" style="110" customWidth="1"/>
    <col min="10" max="10" width="6.5546875" style="63" customWidth="1"/>
    <col min="11" max="11" width="4.44140625" style="110" customWidth="1"/>
    <col min="12" max="12" width="18.33203125" style="110" customWidth="1"/>
    <col min="13" max="13" width="16" style="110" customWidth="1"/>
    <col min="14" max="14" width="12.88671875" style="110" bestFit="1" customWidth="1"/>
    <col min="15" max="256" width="9.109375" style="110"/>
    <col min="257" max="257" width="1.6640625" style="110" customWidth="1"/>
    <col min="258" max="258" width="24.6640625" style="110" customWidth="1"/>
    <col min="259" max="263" width="16.33203125" style="110" customWidth="1"/>
    <col min="264" max="264" width="2.6640625" style="110" customWidth="1"/>
    <col min="265" max="265" width="9.109375" style="110" bestFit="1" customWidth="1"/>
    <col min="266" max="267" width="9.109375" style="110"/>
    <col min="268" max="268" width="16.44140625" style="110" customWidth="1"/>
    <col min="269" max="269" width="9.109375" style="110"/>
    <col min="270" max="270" width="12.88671875" style="110" bestFit="1" customWidth="1"/>
    <col min="271" max="512" width="9.109375" style="110"/>
    <col min="513" max="513" width="1.6640625" style="110" customWidth="1"/>
    <col min="514" max="514" width="24.6640625" style="110" customWidth="1"/>
    <col min="515" max="519" width="16.33203125" style="110" customWidth="1"/>
    <col min="520" max="520" width="2.6640625" style="110" customWidth="1"/>
    <col min="521" max="521" width="9.109375" style="110" bestFit="1" customWidth="1"/>
    <col min="522" max="523" width="9.109375" style="110"/>
    <col min="524" max="524" width="16.44140625" style="110" customWidth="1"/>
    <col min="525" max="525" width="9.109375" style="110"/>
    <col min="526" max="526" width="12.88671875" style="110" bestFit="1" customWidth="1"/>
    <col min="527" max="768" width="9.109375" style="110"/>
    <col min="769" max="769" width="1.6640625" style="110" customWidth="1"/>
    <col min="770" max="770" width="24.6640625" style="110" customWidth="1"/>
    <col min="771" max="775" width="16.33203125" style="110" customWidth="1"/>
    <col min="776" max="776" width="2.6640625" style="110" customWidth="1"/>
    <col min="777" max="777" width="9.109375" style="110" bestFit="1" customWidth="1"/>
    <col min="778" max="779" width="9.109375" style="110"/>
    <col min="780" max="780" width="16.44140625" style="110" customWidth="1"/>
    <col min="781" max="781" width="9.109375" style="110"/>
    <col min="782" max="782" width="12.88671875" style="110" bestFit="1" customWidth="1"/>
    <col min="783" max="1024" width="9.109375" style="110"/>
    <col min="1025" max="1025" width="1.6640625" style="110" customWidth="1"/>
    <col min="1026" max="1026" width="24.6640625" style="110" customWidth="1"/>
    <col min="1027" max="1031" width="16.33203125" style="110" customWidth="1"/>
    <col min="1032" max="1032" width="2.6640625" style="110" customWidth="1"/>
    <col min="1033" max="1033" width="9.109375" style="110" bestFit="1" customWidth="1"/>
    <col min="1034" max="1035" width="9.109375" style="110"/>
    <col min="1036" max="1036" width="16.44140625" style="110" customWidth="1"/>
    <col min="1037" max="1037" width="9.109375" style="110"/>
    <col min="1038" max="1038" width="12.88671875" style="110" bestFit="1" customWidth="1"/>
    <col min="1039" max="1280" width="9.109375" style="110"/>
    <col min="1281" max="1281" width="1.6640625" style="110" customWidth="1"/>
    <col min="1282" max="1282" width="24.6640625" style="110" customWidth="1"/>
    <col min="1283" max="1287" width="16.33203125" style="110" customWidth="1"/>
    <col min="1288" max="1288" width="2.6640625" style="110" customWidth="1"/>
    <col min="1289" max="1289" width="9.109375" style="110" bestFit="1" customWidth="1"/>
    <col min="1290" max="1291" width="9.109375" style="110"/>
    <col min="1292" max="1292" width="16.44140625" style="110" customWidth="1"/>
    <col min="1293" max="1293" width="9.109375" style="110"/>
    <col min="1294" max="1294" width="12.88671875" style="110" bestFit="1" customWidth="1"/>
    <col min="1295" max="1536" width="9.109375" style="110"/>
    <col min="1537" max="1537" width="1.6640625" style="110" customWidth="1"/>
    <col min="1538" max="1538" width="24.6640625" style="110" customWidth="1"/>
    <col min="1539" max="1543" width="16.33203125" style="110" customWidth="1"/>
    <col min="1544" max="1544" width="2.6640625" style="110" customWidth="1"/>
    <col min="1545" max="1545" width="9.109375" style="110" bestFit="1" customWidth="1"/>
    <col min="1546" max="1547" width="9.109375" style="110"/>
    <col min="1548" max="1548" width="16.44140625" style="110" customWidth="1"/>
    <col min="1549" max="1549" width="9.109375" style="110"/>
    <col min="1550" max="1550" width="12.88671875" style="110" bestFit="1" customWidth="1"/>
    <col min="1551" max="1792" width="9.109375" style="110"/>
    <col min="1793" max="1793" width="1.6640625" style="110" customWidth="1"/>
    <col min="1794" max="1794" width="24.6640625" style="110" customWidth="1"/>
    <col min="1795" max="1799" width="16.33203125" style="110" customWidth="1"/>
    <col min="1800" max="1800" width="2.6640625" style="110" customWidth="1"/>
    <col min="1801" max="1801" width="9.109375" style="110" bestFit="1" customWidth="1"/>
    <col min="1802" max="1803" width="9.109375" style="110"/>
    <col min="1804" max="1804" width="16.44140625" style="110" customWidth="1"/>
    <col min="1805" max="1805" width="9.109375" style="110"/>
    <col min="1806" max="1806" width="12.88671875" style="110" bestFit="1" customWidth="1"/>
    <col min="1807" max="2048" width="9.109375" style="110"/>
    <col min="2049" max="2049" width="1.6640625" style="110" customWidth="1"/>
    <col min="2050" max="2050" width="24.6640625" style="110" customWidth="1"/>
    <col min="2051" max="2055" width="16.33203125" style="110" customWidth="1"/>
    <col min="2056" max="2056" width="2.6640625" style="110" customWidth="1"/>
    <col min="2057" max="2057" width="9.109375" style="110" bestFit="1" customWidth="1"/>
    <col min="2058" max="2059" width="9.109375" style="110"/>
    <col min="2060" max="2060" width="16.44140625" style="110" customWidth="1"/>
    <col min="2061" max="2061" width="9.109375" style="110"/>
    <col min="2062" max="2062" width="12.88671875" style="110" bestFit="1" customWidth="1"/>
    <col min="2063" max="2304" width="9.109375" style="110"/>
    <col min="2305" max="2305" width="1.6640625" style="110" customWidth="1"/>
    <col min="2306" max="2306" width="24.6640625" style="110" customWidth="1"/>
    <col min="2307" max="2311" width="16.33203125" style="110" customWidth="1"/>
    <col min="2312" max="2312" width="2.6640625" style="110" customWidth="1"/>
    <col min="2313" max="2313" width="9.109375" style="110" bestFit="1" customWidth="1"/>
    <col min="2314" max="2315" width="9.109375" style="110"/>
    <col min="2316" max="2316" width="16.44140625" style="110" customWidth="1"/>
    <col min="2317" max="2317" width="9.109375" style="110"/>
    <col min="2318" max="2318" width="12.88671875" style="110" bestFit="1" customWidth="1"/>
    <col min="2319" max="2560" width="9.109375" style="110"/>
    <col min="2561" max="2561" width="1.6640625" style="110" customWidth="1"/>
    <col min="2562" max="2562" width="24.6640625" style="110" customWidth="1"/>
    <col min="2563" max="2567" width="16.33203125" style="110" customWidth="1"/>
    <col min="2568" max="2568" width="2.6640625" style="110" customWidth="1"/>
    <col min="2569" max="2569" width="9.109375" style="110" bestFit="1" customWidth="1"/>
    <col min="2570" max="2571" width="9.109375" style="110"/>
    <col min="2572" max="2572" width="16.44140625" style="110" customWidth="1"/>
    <col min="2573" max="2573" width="9.109375" style="110"/>
    <col min="2574" max="2574" width="12.88671875" style="110" bestFit="1" customWidth="1"/>
    <col min="2575" max="2816" width="9.109375" style="110"/>
    <col min="2817" max="2817" width="1.6640625" style="110" customWidth="1"/>
    <col min="2818" max="2818" width="24.6640625" style="110" customWidth="1"/>
    <col min="2819" max="2823" width="16.33203125" style="110" customWidth="1"/>
    <col min="2824" max="2824" width="2.6640625" style="110" customWidth="1"/>
    <col min="2825" max="2825" width="9.109375" style="110" bestFit="1" customWidth="1"/>
    <col min="2826" max="2827" width="9.109375" style="110"/>
    <col min="2828" max="2828" width="16.44140625" style="110" customWidth="1"/>
    <col min="2829" max="2829" width="9.109375" style="110"/>
    <col min="2830" max="2830" width="12.88671875" style="110" bestFit="1" customWidth="1"/>
    <col min="2831" max="3072" width="9.109375" style="110"/>
    <col min="3073" max="3073" width="1.6640625" style="110" customWidth="1"/>
    <col min="3074" max="3074" width="24.6640625" style="110" customWidth="1"/>
    <col min="3075" max="3079" width="16.33203125" style="110" customWidth="1"/>
    <col min="3080" max="3080" width="2.6640625" style="110" customWidth="1"/>
    <col min="3081" max="3081" width="9.109375" style="110" bestFit="1" customWidth="1"/>
    <col min="3082" max="3083" width="9.109375" style="110"/>
    <col min="3084" max="3084" width="16.44140625" style="110" customWidth="1"/>
    <col min="3085" max="3085" width="9.109375" style="110"/>
    <col min="3086" max="3086" width="12.88671875" style="110" bestFit="1" customWidth="1"/>
    <col min="3087" max="3328" width="9.109375" style="110"/>
    <col min="3329" max="3329" width="1.6640625" style="110" customWidth="1"/>
    <col min="3330" max="3330" width="24.6640625" style="110" customWidth="1"/>
    <col min="3331" max="3335" width="16.33203125" style="110" customWidth="1"/>
    <col min="3336" max="3336" width="2.6640625" style="110" customWidth="1"/>
    <col min="3337" max="3337" width="9.109375" style="110" bestFit="1" customWidth="1"/>
    <col min="3338" max="3339" width="9.109375" style="110"/>
    <col min="3340" max="3340" width="16.44140625" style="110" customWidth="1"/>
    <col min="3341" max="3341" width="9.109375" style="110"/>
    <col min="3342" max="3342" width="12.88671875" style="110" bestFit="1" customWidth="1"/>
    <col min="3343" max="3584" width="9.109375" style="110"/>
    <col min="3585" max="3585" width="1.6640625" style="110" customWidth="1"/>
    <col min="3586" max="3586" width="24.6640625" style="110" customWidth="1"/>
    <col min="3587" max="3591" width="16.33203125" style="110" customWidth="1"/>
    <col min="3592" max="3592" width="2.6640625" style="110" customWidth="1"/>
    <col min="3593" max="3593" width="9.109375" style="110" bestFit="1" customWidth="1"/>
    <col min="3594" max="3595" width="9.109375" style="110"/>
    <col min="3596" max="3596" width="16.44140625" style="110" customWidth="1"/>
    <col min="3597" max="3597" width="9.109375" style="110"/>
    <col min="3598" max="3598" width="12.88671875" style="110" bestFit="1" customWidth="1"/>
    <col min="3599" max="3840" width="9.109375" style="110"/>
    <col min="3841" max="3841" width="1.6640625" style="110" customWidth="1"/>
    <col min="3842" max="3842" width="24.6640625" style="110" customWidth="1"/>
    <col min="3843" max="3847" width="16.33203125" style="110" customWidth="1"/>
    <col min="3848" max="3848" width="2.6640625" style="110" customWidth="1"/>
    <col min="3849" max="3849" width="9.109375" style="110" bestFit="1" customWidth="1"/>
    <col min="3850" max="3851" width="9.109375" style="110"/>
    <col min="3852" max="3852" width="16.44140625" style="110" customWidth="1"/>
    <col min="3853" max="3853" width="9.109375" style="110"/>
    <col min="3854" max="3854" width="12.88671875" style="110" bestFit="1" customWidth="1"/>
    <col min="3855" max="4096" width="9.109375" style="110"/>
    <col min="4097" max="4097" width="1.6640625" style="110" customWidth="1"/>
    <col min="4098" max="4098" width="24.6640625" style="110" customWidth="1"/>
    <col min="4099" max="4103" width="16.33203125" style="110" customWidth="1"/>
    <col min="4104" max="4104" width="2.6640625" style="110" customWidth="1"/>
    <col min="4105" max="4105" width="9.109375" style="110" bestFit="1" customWidth="1"/>
    <col min="4106" max="4107" width="9.109375" style="110"/>
    <col min="4108" max="4108" width="16.44140625" style="110" customWidth="1"/>
    <col min="4109" max="4109" width="9.109375" style="110"/>
    <col min="4110" max="4110" width="12.88671875" style="110" bestFit="1" customWidth="1"/>
    <col min="4111" max="4352" width="9.109375" style="110"/>
    <col min="4353" max="4353" width="1.6640625" style="110" customWidth="1"/>
    <col min="4354" max="4354" width="24.6640625" style="110" customWidth="1"/>
    <col min="4355" max="4359" width="16.33203125" style="110" customWidth="1"/>
    <col min="4360" max="4360" width="2.6640625" style="110" customWidth="1"/>
    <col min="4361" max="4361" width="9.109375" style="110" bestFit="1" customWidth="1"/>
    <col min="4362" max="4363" width="9.109375" style="110"/>
    <col min="4364" max="4364" width="16.44140625" style="110" customWidth="1"/>
    <col min="4365" max="4365" width="9.109375" style="110"/>
    <col min="4366" max="4366" width="12.88671875" style="110" bestFit="1" customWidth="1"/>
    <col min="4367" max="4608" width="9.109375" style="110"/>
    <col min="4609" max="4609" width="1.6640625" style="110" customWidth="1"/>
    <col min="4610" max="4610" width="24.6640625" style="110" customWidth="1"/>
    <col min="4611" max="4615" width="16.33203125" style="110" customWidth="1"/>
    <col min="4616" max="4616" width="2.6640625" style="110" customWidth="1"/>
    <col min="4617" max="4617" width="9.109375" style="110" bestFit="1" customWidth="1"/>
    <col min="4618" max="4619" width="9.109375" style="110"/>
    <col min="4620" max="4620" width="16.44140625" style="110" customWidth="1"/>
    <col min="4621" max="4621" width="9.109375" style="110"/>
    <col min="4622" max="4622" width="12.88671875" style="110" bestFit="1" customWidth="1"/>
    <col min="4623" max="4864" width="9.109375" style="110"/>
    <col min="4865" max="4865" width="1.6640625" style="110" customWidth="1"/>
    <col min="4866" max="4866" width="24.6640625" style="110" customWidth="1"/>
    <col min="4867" max="4871" width="16.33203125" style="110" customWidth="1"/>
    <col min="4872" max="4872" width="2.6640625" style="110" customWidth="1"/>
    <col min="4873" max="4873" width="9.109375" style="110" bestFit="1" customWidth="1"/>
    <col min="4874" max="4875" width="9.109375" style="110"/>
    <col min="4876" max="4876" width="16.44140625" style="110" customWidth="1"/>
    <col min="4877" max="4877" width="9.109375" style="110"/>
    <col min="4878" max="4878" width="12.88671875" style="110" bestFit="1" customWidth="1"/>
    <col min="4879" max="5120" width="9.109375" style="110"/>
    <col min="5121" max="5121" width="1.6640625" style="110" customWidth="1"/>
    <col min="5122" max="5122" width="24.6640625" style="110" customWidth="1"/>
    <col min="5123" max="5127" width="16.33203125" style="110" customWidth="1"/>
    <col min="5128" max="5128" width="2.6640625" style="110" customWidth="1"/>
    <col min="5129" max="5129" width="9.109375" style="110" bestFit="1" customWidth="1"/>
    <col min="5130" max="5131" width="9.109375" style="110"/>
    <col min="5132" max="5132" width="16.44140625" style="110" customWidth="1"/>
    <col min="5133" max="5133" width="9.109375" style="110"/>
    <col min="5134" max="5134" width="12.88671875" style="110" bestFit="1" customWidth="1"/>
    <col min="5135" max="5376" width="9.109375" style="110"/>
    <col min="5377" max="5377" width="1.6640625" style="110" customWidth="1"/>
    <col min="5378" max="5378" width="24.6640625" style="110" customWidth="1"/>
    <col min="5379" max="5383" width="16.33203125" style="110" customWidth="1"/>
    <col min="5384" max="5384" width="2.6640625" style="110" customWidth="1"/>
    <col min="5385" max="5385" width="9.109375" style="110" bestFit="1" customWidth="1"/>
    <col min="5386" max="5387" width="9.109375" style="110"/>
    <col min="5388" max="5388" width="16.44140625" style="110" customWidth="1"/>
    <col min="5389" max="5389" width="9.109375" style="110"/>
    <col min="5390" max="5390" width="12.88671875" style="110" bestFit="1" customWidth="1"/>
    <col min="5391" max="5632" width="9.109375" style="110"/>
    <col min="5633" max="5633" width="1.6640625" style="110" customWidth="1"/>
    <col min="5634" max="5634" width="24.6640625" style="110" customWidth="1"/>
    <col min="5635" max="5639" width="16.33203125" style="110" customWidth="1"/>
    <col min="5640" max="5640" width="2.6640625" style="110" customWidth="1"/>
    <col min="5641" max="5641" width="9.109375" style="110" bestFit="1" customWidth="1"/>
    <col min="5642" max="5643" width="9.109375" style="110"/>
    <col min="5644" max="5644" width="16.44140625" style="110" customWidth="1"/>
    <col min="5645" max="5645" width="9.109375" style="110"/>
    <col min="5646" max="5646" width="12.88671875" style="110" bestFit="1" customWidth="1"/>
    <col min="5647" max="5888" width="9.109375" style="110"/>
    <col min="5889" max="5889" width="1.6640625" style="110" customWidth="1"/>
    <col min="5890" max="5890" width="24.6640625" style="110" customWidth="1"/>
    <col min="5891" max="5895" width="16.33203125" style="110" customWidth="1"/>
    <col min="5896" max="5896" width="2.6640625" style="110" customWidth="1"/>
    <col min="5897" max="5897" width="9.109375" style="110" bestFit="1" customWidth="1"/>
    <col min="5898" max="5899" width="9.109375" style="110"/>
    <col min="5900" max="5900" width="16.44140625" style="110" customWidth="1"/>
    <col min="5901" max="5901" width="9.109375" style="110"/>
    <col min="5902" max="5902" width="12.88671875" style="110" bestFit="1" customWidth="1"/>
    <col min="5903" max="6144" width="9.109375" style="110"/>
    <col min="6145" max="6145" width="1.6640625" style="110" customWidth="1"/>
    <col min="6146" max="6146" width="24.6640625" style="110" customWidth="1"/>
    <col min="6147" max="6151" width="16.33203125" style="110" customWidth="1"/>
    <col min="6152" max="6152" width="2.6640625" style="110" customWidth="1"/>
    <col min="6153" max="6153" width="9.109375" style="110" bestFit="1" customWidth="1"/>
    <col min="6154" max="6155" width="9.109375" style="110"/>
    <col min="6156" max="6156" width="16.44140625" style="110" customWidth="1"/>
    <col min="6157" max="6157" width="9.109375" style="110"/>
    <col min="6158" max="6158" width="12.88671875" style="110" bestFit="1" customWidth="1"/>
    <col min="6159" max="6400" width="9.109375" style="110"/>
    <col min="6401" max="6401" width="1.6640625" style="110" customWidth="1"/>
    <col min="6402" max="6402" width="24.6640625" style="110" customWidth="1"/>
    <col min="6403" max="6407" width="16.33203125" style="110" customWidth="1"/>
    <col min="6408" max="6408" width="2.6640625" style="110" customWidth="1"/>
    <col min="6409" max="6409" width="9.109375" style="110" bestFit="1" customWidth="1"/>
    <col min="6410" max="6411" width="9.109375" style="110"/>
    <col min="6412" max="6412" width="16.44140625" style="110" customWidth="1"/>
    <col min="6413" max="6413" width="9.109375" style="110"/>
    <col min="6414" max="6414" width="12.88671875" style="110" bestFit="1" customWidth="1"/>
    <col min="6415" max="6656" width="9.109375" style="110"/>
    <col min="6657" max="6657" width="1.6640625" style="110" customWidth="1"/>
    <col min="6658" max="6658" width="24.6640625" style="110" customWidth="1"/>
    <col min="6659" max="6663" width="16.33203125" style="110" customWidth="1"/>
    <col min="6664" max="6664" width="2.6640625" style="110" customWidth="1"/>
    <col min="6665" max="6665" width="9.109375" style="110" bestFit="1" customWidth="1"/>
    <col min="6666" max="6667" width="9.109375" style="110"/>
    <col min="6668" max="6668" width="16.44140625" style="110" customWidth="1"/>
    <col min="6669" max="6669" width="9.109375" style="110"/>
    <col min="6670" max="6670" width="12.88671875" style="110" bestFit="1" customWidth="1"/>
    <col min="6671" max="6912" width="9.109375" style="110"/>
    <col min="6913" max="6913" width="1.6640625" style="110" customWidth="1"/>
    <col min="6914" max="6914" width="24.6640625" style="110" customWidth="1"/>
    <col min="6915" max="6919" width="16.33203125" style="110" customWidth="1"/>
    <col min="6920" max="6920" width="2.6640625" style="110" customWidth="1"/>
    <col min="6921" max="6921" width="9.109375" style="110" bestFit="1" customWidth="1"/>
    <col min="6922" max="6923" width="9.109375" style="110"/>
    <col min="6924" max="6924" width="16.44140625" style="110" customWidth="1"/>
    <col min="6925" max="6925" width="9.109375" style="110"/>
    <col min="6926" max="6926" width="12.88671875" style="110" bestFit="1" customWidth="1"/>
    <col min="6927" max="7168" width="9.109375" style="110"/>
    <col min="7169" max="7169" width="1.6640625" style="110" customWidth="1"/>
    <col min="7170" max="7170" width="24.6640625" style="110" customWidth="1"/>
    <col min="7171" max="7175" width="16.33203125" style="110" customWidth="1"/>
    <col min="7176" max="7176" width="2.6640625" style="110" customWidth="1"/>
    <col min="7177" max="7177" width="9.109375" style="110" bestFit="1" customWidth="1"/>
    <col min="7178" max="7179" width="9.109375" style="110"/>
    <col min="7180" max="7180" width="16.44140625" style="110" customWidth="1"/>
    <col min="7181" max="7181" width="9.109375" style="110"/>
    <col min="7182" max="7182" width="12.88671875" style="110" bestFit="1" customWidth="1"/>
    <col min="7183" max="7424" width="9.109375" style="110"/>
    <col min="7425" max="7425" width="1.6640625" style="110" customWidth="1"/>
    <col min="7426" max="7426" width="24.6640625" style="110" customWidth="1"/>
    <col min="7427" max="7431" width="16.33203125" style="110" customWidth="1"/>
    <col min="7432" max="7432" width="2.6640625" style="110" customWidth="1"/>
    <col min="7433" max="7433" width="9.109375" style="110" bestFit="1" customWidth="1"/>
    <col min="7434" max="7435" width="9.109375" style="110"/>
    <col min="7436" max="7436" width="16.44140625" style="110" customWidth="1"/>
    <col min="7437" max="7437" width="9.109375" style="110"/>
    <col min="7438" max="7438" width="12.88671875" style="110" bestFit="1" customWidth="1"/>
    <col min="7439" max="7680" width="9.109375" style="110"/>
    <col min="7681" max="7681" width="1.6640625" style="110" customWidth="1"/>
    <col min="7682" max="7682" width="24.6640625" style="110" customWidth="1"/>
    <col min="7683" max="7687" width="16.33203125" style="110" customWidth="1"/>
    <col min="7688" max="7688" width="2.6640625" style="110" customWidth="1"/>
    <col min="7689" max="7689" width="9.109375" style="110" bestFit="1" customWidth="1"/>
    <col min="7690" max="7691" width="9.109375" style="110"/>
    <col min="7692" max="7692" width="16.44140625" style="110" customWidth="1"/>
    <col min="7693" max="7693" width="9.109375" style="110"/>
    <col min="7694" max="7694" width="12.88671875" style="110" bestFit="1" customWidth="1"/>
    <col min="7695" max="7936" width="9.109375" style="110"/>
    <col min="7937" max="7937" width="1.6640625" style="110" customWidth="1"/>
    <col min="7938" max="7938" width="24.6640625" style="110" customWidth="1"/>
    <col min="7939" max="7943" width="16.33203125" style="110" customWidth="1"/>
    <col min="7944" max="7944" width="2.6640625" style="110" customWidth="1"/>
    <col min="7945" max="7945" width="9.109375" style="110" bestFit="1" customWidth="1"/>
    <col min="7946" max="7947" width="9.109375" style="110"/>
    <col min="7948" max="7948" width="16.44140625" style="110" customWidth="1"/>
    <col min="7949" max="7949" width="9.109375" style="110"/>
    <col min="7950" max="7950" width="12.88671875" style="110" bestFit="1" customWidth="1"/>
    <col min="7951" max="8192" width="9.109375" style="110"/>
    <col min="8193" max="8193" width="1.6640625" style="110" customWidth="1"/>
    <col min="8194" max="8194" width="24.6640625" style="110" customWidth="1"/>
    <col min="8195" max="8199" width="16.33203125" style="110" customWidth="1"/>
    <col min="8200" max="8200" width="2.6640625" style="110" customWidth="1"/>
    <col min="8201" max="8201" width="9.109375" style="110" bestFit="1" customWidth="1"/>
    <col min="8202" max="8203" width="9.109375" style="110"/>
    <col min="8204" max="8204" width="16.44140625" style="110" customWidth="1"/>
    <col min="8205" max="8205" width="9.109375" style="110"/>
    <col min="8206" max="8206" width="12.88671875" style="110" bestFit="1" customWidth="1"/>
    <col min="8207" max="8448" width="9.109375" style="110"/>
    <col min="8449" max="8449" width="1.6640625" style="110" customWidth="1"/>
    <col min="8450" max="8450" width="24.6640625" style="110" customWidth="1"/>
    <col min="8451" max="8455" width="16.33203125" style="110" customWidth="1"/>
    <col min="8456" max="8456" width="2.6640625" style="110" customWidth="1"/>
    <col min="8457" max="8457" width="9.109375" style="110" bestFit="1" customWidth="1"/>
    <col min="8458" max="8459" width="9.109375" style="110"/>
    <col min="8460" max="8460" width="16.44140625" style="110" customWidth="1"/>
    <col min="8461" max="8461" width="9.109375" style="110"/>
    <col min="8462" max="8462" width="12.88671875" style="110" bestFit="1" customWidth="1"/>
    <col min="8463" max="8704" width="9.109375" style="110"/>
    <col min="8705" max="8705" width="1.6640625" style="110" customWidth="1"/>
    <col min="8706" max="8706" width="24.6640625" style="110" customWidth="1"/>
    <col min="8707" max="8711" width="16.33203125" style="110" customWidth="1"/>
    <col min="8712" max="8712" width="2.6640625" style="110" customWidth="1"/>
    <col min="8713" max="8713" width="9.109375" style="110" bestFit="1" customWidth="1"/>
    <col min="8714" max="8715" width="9.109375" style="110"/>
    <col min="8716" max="8716" width="16.44140625" style="110" customWidth="1"/>
    <col min="8717" max="8717" width="9.109375" style="110"/>
    <col min="8718" max="8718" width="12.88671875" style="110" bestFit="1" customWidth="1"/>
    <col min="8719" max="8960" width="9.109375" style="110"/>
    <col min="8961" max="8961" width="1.6640625" style="110" customWidth="1"/>
    <col min="8962" max="8962" width="24.6640625" style="110" customWidth="1"/>
    <col min="8963" max="8967" width="16.33203125" style="110" customWidth="1"/>
    <col min="8968" max="8968" width="2.6640625" style="110" customWidth="1"/>
    <col min="8969" max="8969" width="9.109375" style="110" bestFit="1" customWidth="1"/>
    <col min="8970" max="8971" width="9.109375" style="110"/>
    <col min="8972" max="8972" width="16.44140625" style="110" customWidth="1"/>
    <col min="8973" max="8973" width="9.109375" style="110"/>
    <col min="8974" max="8974" width="12.88671875" style="110" bestFit="1" customWidth="1"/>
    <col min="8975" max="9216" width="9.109375" style="110"/>
    <col min="9217" max="9217" width="1.6640625" style="110" customWidth="1"/>
    <col min="9218" max="9218" width="24.6640625" style="110" customWidth="1"/>
    <col min="9219" max="9223" width="16.33203125" style="110" customWidth="1"/>
    <col min="9224" max="9224" width="2.6640625" style="110" customWidth="1"/>
    <col min="9225" max="9225" width="9.109375" style="110" bestFit="1" customWidth="1"/>
    <col min="9226" max="9227" width="9.109375" style="110"/>
    <col min="9228" max="9228" width="16.44140625" style="110" customWidth="1"/>
    <col min="9229" max="9229" width="9.109375" style="110"/>
    <col min="9230" max="9230" width="12.88671875" style="110" bestFit="1" customWidth="1"/>
    <col min="9231" max="9472" width="9.109375" style="110"/>
    <col min="9473" max="9473" width="1.6640625" style="110" customWidth="1"/>
    <col min="9474" max="9474" width="24.6640625" style="110" customWidth="1"/>
    <col min="9475" max="9479" width="16.33203125" style="110" customWidth="1"/>
    <col min="9480" max="9480" width="2.6640625" style="110" customWidth="1"/>
    <col min="9481" max="9481" width="9.109375" style="110" bestFit="1" customWidth="1"/>
    <col min="9482" max="9483" width="9.109375" style="110"/>
    <col min="9484" max="9484" width="16.44140625" style="110" customWidth="1"/>
    <col min="9485" max="9485" width="9.109375" style="110"/>
    <col min="9486" max="9486" width="12.88671875" style="110" bestFit="1" customWidth="1"/>
    <col min="9487" max="9728" width="9.109375" style="110"/>
    <col min="9729" max="9729" width="1.6640625" style="110" customWidth="1"/>
    <col min="9730" max="9730" width="24.6640625" style="110" customWidth="1"/>
    <col min="9731" max="9735" width="16.33203125" style="110" customWidth="1"/>
    <col min="9736" max="9736" width="2.6640625" style="110" customWidth="1"/>
    <col min="9737" max="9737" width="9.109375" style="110" bestFit="1" customWidth="1"/>
    <col min="9738" max="9739" width="9.109375" style="110"/>
    <col min="9740" max="9740" width="16.44140625" style="110" customWidth="1"/>
    <col min="9741" max="9741" width="9.109375" style="110"/>
    <col min="9742" max="9742" width="12.88671875" style="110" bestFit="1" customWidth="1"/>
    <col min="9743" max="9984" width="9.109375" style="110"/>
    <col min="9985" max="9985" width="1.6640625" style="110" customWidth="1"/>
    <col min="9986" max="9986" width="24.6640625" style="110" customWidth="1"/>
    <col min="9987" max="9991" width="16.33203125" style="110" customWidth="1"/>
    <col min="9992" max="9992" width="2.6640625" style="110" customWidth="1"/>
    <col min="9993" max="9993" width="9.109375" style="110" bestFit="1" customWidth="1"/>
    <col min="9994" max="9995" width="9.109375" style="110"/>
    <col min="9996" max="9996" width="16.44140625" style="110" customWidth="1"/>
    <col min="9997" max="9997" width="9.109375" style="110"/>
    <col min="9998" max="9998" width="12.88671875" style="110" bestFit="1" customWidth="1"/>
    <col min="9999" max="10240" width="9.109375" style="110"/>
    <col min="10241" max="10241" width="1.6640625" style="110" customWidth="1"/>
    <col min="10242" max="10242" width="24.6640625" style="110" customWidth="1"/>
    <col min="10243" max="10247" width="16.33203125" style="110" customWidth="1"/>
    <col min="10248" max="10248" width="2.6640625" style="110" customWidth="1"/>
    <col min="10249" max="10249" width="9.109375" style="110" bestFit="1" customWidth="1"/>
    <col min="10250" max="10251" width="9.109375" style="110"/>
    <col min="10252" max="10252" width="16.44140625" style="110" customWidth="1"/>
    <col min="10253" max="10253" width="9.109375" style="110"/>
    <col min="10254" max="10254" width="12.88671875" style="110" bestFit="1" customWidth="1"/>
    <col min="10255" max="10496" width="9.109375" style="110"/>
    <col min="10497" max="10497" width="1.6640625" style="110" customWidth="1"/>
    <col min="10498" max="10498" width="24.6640625" style="110" customWidth="1"/>
    <col min="10499" max="10503" width="16.33203125" style="110" customWidth="1"/>
    <col min="10504" max="10504" width="2.6640625" style="110" customWidth="1"/>
    <col min="10505" max="10505" width="9.109375" style="110" bestFit="1" customWidth="1"/>
    <col min="10506" max="10507" width="9.109375" style="110"/>
    <col min="10508" max="10508" width="16.44140625" style="110" customWidth="1"/>
    <col min="10509" max="10509" width="9.109375" style="110"/>
    <col min="10510" max="10510" width="12.88671875" style="110" bestFit="1" customWidth="1"/>
    <col min="10511" max="10752" width="9.109375" style="110"/>
    <col min="10753" max="10753" width="1.6640625" style="110" customWidth="1"/>
    <col min="10754" max="10754" width="24.6640625" style="110" customWidth="1"/>
    <col min="10755" max="10759" width="16.33203125" style="110" customWidth="1"/>
    <col min="10760" max="10760" width="2.6640625" style="110" customWidth="1"/>
    <col min="10761" max="10761" width="9.109375" style="110" bestFit="1" customWidth="1"/>
    <col min="10762" max="10763" width="9.109375" style="110"/>
    <col min="10764" max="10764" width="16.44140625" style="110" customWidth="1"/>
    <col min="10765" max="10765" width="9.109375" style="110"/>
    <col min="10766" max="10766" width="12.88671875" style="110" bestFit="1" customWidth="1"/>
    <col min="10767" max="11008" width="9.109375" style="110"/>
    <col min="11009" max="11009" width="1.6640625" style="110" customWidth="1"/>
    <col min="11010" max="11010" width="24.6640625" style="110" customWidth="1"/>
    <col min="11011" max="11015" width="16.33203125" style="110" customWidth="1"/>
    <col min="11016" max="11016" width="2.6640625" style="110" customWidth="1"/>
    <col min="11017" max="11017" width="9.109375" style="110" bestFit="1" customWidth="1"/>
    <col min="11018" max="11019" width="9.109375" style="110"/>
    <col min="11020" max="11020" width="16.44140625" style="110" customWidth="1"/>
    <col min="11021" max="11021" width="9.109375" style="110"/>
    <col min="11022" max="11022" width="12.88671875" style="110" bestFit="1" customWidth="1"/>
    <col min="11023" max="11264" width="9.109375" style="110"/>
    <col min="11265" max="11265" width="1.6640625" style="110" customWidth="1"/>
    <col min="11266" max="11266" width="24.6640625" style="110" customWidth="1"/>
    <col min="11267" max="11271" width="16.33203125" style="110" customWidth="1"/>
    <col min="11272" max="11272" width="2.6640625" style="110" customWidth="1"/>
    <col min="11273" max="11273" width="9.109375" style="110" bestFit="1" customWidth="1"/>
    <col min="11274" max="11275" width="9.109375" style="110"/>
    <col min="11276" max="11276" width="16.44140625" style="110" customWidth="1"/>
    <col min="11277" max="11277" width="9.109375" style="110"/>
    <col min="11278" max="11278" width="12.88671875" style="110" bestFit="1" customWidth="1"/>
    <col min="11279" max="11520" width="9.109375" style="110"/>
    <col min="11521" max="11521" width="1.6640625" style="110" customWidth="1"/>
    <col min="11522" max="11522" width="24.6640625" style="110" customWidth="1"/>
    <col min="11523" max="11527" width="16.33203125" style="110" customWidth="1"/>
    <col min="11528" max="11528" width="2.6640625" style="110" customWidth="1"/>
    <col min="11529" max="11529" width="9.109375" style="110" bestFit="1" customWidth="1"/>
    <col min="11530" max="11531" width="9.109375" style="110"/>
    <col min="11532" max="11532" width="16.44140625" style="110" customWidth="1"/>
    <col min="11533" max="11533" width="9.109375" style="110"/>
    <col min="11534" max="11534" width="12.88671875" style="110" bestFit="1" customWidth="1"/>
    <col min="11535" max="11776" width="9.109375" style="110"/>
    <col min="11777" max="11777" width="1.6640625" style="110" customWidth="1"/>
    <col min="11778" max="11778" width="24.6640625" style="110" customWidth="1"/>
    <col min="11779" max="11783" width="16.33203125" style="110" customWidth="1"/>
    <col min="11784" max="11784" width="2.6640625" style="110" customWidth="1"/>
    <col min="11785" max="11785" width="9.109375" style="110" bestFit="1" customWidth="1"/>
    <col min="11786" max="11787" width="9.109375" style="110"/>
    <col min="11788" max="11788" width="16.44140625" style="110" customWidth="1"/>
    <col min="11789" max="11789" width="9.109375" style="110"/>
    <col min="11790" max="11790" width="12.88671875" style="110" bestFit="1" customWidth="1"/>
    <col min="11791" max="12032" width="9.109375" style="110"/>
    <col min="12033" max="12033" width="1.6640625" style="110" customWidth="1"/>
    <col min="12034" max="12034" width="24.6640625" style="110" customWidth="1"/>
    <col min="12035" max="12039" width="16.33203125" style="110" customWidth="1"/>
    <col min="12040" max="12040" width="2.6640625" style="110" customWidth="1"/>
    <col min="12041" max="12041" width="9.109375" style="110" bestFit="1" customWidth="1"/>
    <col min="12042" max="12043" width="9.109375" style="110"/>
    <col min="12044" max="12044" width="16.44140625" style="110" customWidth="1"/>
    <col min="12045" max="12045" width="9.109375" style="110"/>
    <col min="12046" max="12046" width="12.88671875" style="110" bestFit="1" customWidth="1"/>
    <col min="12047" max="12288" width="9.109375" style="110"/>
    <col min="12289" max="12289" width="1.6640625" style="110" customWidth="1"/>
    <col min="12290" max="12290" width="24.6640625" style="110" customWidth="1"/>
    <col min="12291" max="12295" width="16.33203125" style="110" customWidth="1"/>
    <col min="12296" max="12296" width="2.6640625" style="110" customWidth="1"/>
    <col min="12297" max="12297" width="9.109375" style="110" bestFit="1" customWidth="1"/>
    <col min="12298" max="12299" width="9.109375" style="110"/>
    <col min="12300" max="12300" width="16.44140625" style="110" customWidth="1"/>
    <col min="12301" max="12301" width="9.109375" style="110"/>
    <col min="12302" max="12302" width="12.88671875" style="110" bestFit="1" customWidth="1"/>
    <col min="12303" max="12544" width="9.109375" style="110"/>
    <col min="12545" max="12545" width="1.6640625" style="110" customWidth="1"/>
    <col min="12546" max="12546" width="24.6640625" style="110" customWidth="1"/>
    <col min="12547" max="12551" width="16.33203125" style="110" customWidth="1"/>
    <col min="12552" max="12552" width="2.6640625" style="110" customWidth="1"/>
    <col min="12553" max="12553" width="9.109375" style="110" bestFit="1" customWidth="1"/>
    <col min="12554" max="12555" width="9.109375" style="110"/>
    <col min="12556" max="12556" width="16.44140625" style="110" customWidth="1"/>
    <col min="12557" max="12557" width="9.109375" style="110"/>
    <col min="12558" max="12558" width="12.88671875" style="110" bestFit="1" customWidth="1"/>
    <col min="12559" max="12800" width="9.109375" style="110"/>
    <col min="12801" max="12801" width="1.6640625" style="110" customWidth="1"/>
    <col min="12802" max="12802" width="24.6640625" style="110" customWidth="1"/>
    <col min="12803" max="12807" width="16.33203125" style="110" customWidth="1"/>
    <col min="12808" max="12808" width="2.6640625" style="110" customWidth="1"/>
    <col min="12809" max="12809" width="9.109375" style="110" bestFit="1" customWidth="1"/>
    <col min="12810" max="12811" width="9.109375" style="110"/>
    <col min="12812" max="12812" width="16.44140625" style="110" customWidth="1"/>
    <col min="12813" max="12813" width="9.109375" style="110"/>
    <col min="12814" max="12814" width="12.88671875" style="110" bestFit="1" customWidth="1"/>
    <col min="12815" max="13056" width="9.109375" style="110"/>
    <col min="13057" max="13057" width="1.6640625" style="110" customWidth="1"/>
    <col min="13058" max="13058" width="24.6640625" style="110" customWidth="1"/>
    <col min="13059" max="13063" width="16.33203125" style="110" customWidth="1"/>
    <col min="13064" max="13064" width="2.6640625" style="110" customWidth="1"/>
    <col min="13065" max="13065" width="9.109375" style="110" bestFit="1" customWidth="1"/>
    <col min="13066" max="13067" width="9.109375" style="110"/>
    <col min="13068" max="13068" width="16.44140625" style="110" customWidth="1"/>
    <col min="13069" max="13069" width="9.109375" style="110"/>
    <col min="13070" max="13070" width="12.88671875" style="110" bestFit="1" customWidth="1"/>
    <col min="13071" max="13312" width="9.109375" style="110"/>
    <col min="13313" max="13313" width="1.6640625" style="110" customWidth="1"/>
    <col min="13314" max="13314" width="24.6640625" style="110" customWidth="1"/>
    <col min="13315" max="13319" width="16.33203125" style="110" customWidth="1"/>
    <col min="13320" max="13320" width="2.6640625" style="110" customWidth="1"/>
    <col min="13321" max="13321" width="9.109375" style="110" bestFit="1" customWidth="1"/>
    <col min="13322" max="13323" width="9.109375" style="110"/>
    <col min="13324" max="13324" width="16.44140625" style="110" customWidth="1"/>
    <col min="13325" max="13325" width="9.109375" style="110"/>
    <col min="13326" max="13326" width="12.88671875" style="110" bestFit="1" customWidth="1"/>
    <col min="13327" max="13568" width="9.109375" style="110"/>
    <col min="13569" max="13569" width="1.6640625" style="110" customWidth="1"/>
    <col min="13570" max="13570" width="24.6640625" style="110" customWidth="1"/>
    <col min="13571" max="13575" width="16.33203125" style="110" customWidth="1"/>
    <col min="13576" max="13576" width="2.6640625" style="110" customWidth="1"/>
    <col min="13577" max="13577" width="9.109375" style="110" bestFit="1" customWidth="1"/>
    <col min="13578" max="13579" width="9.109375" style="110"/>
    <col min="13580" max="13580" width="16.44140625" style="110" customWidth="1"/>
    <col min="13581" max="13581" width="9.109375" style="110"/>
    <col min="13582" max="13582" width="12.88671875" style="110" bestFit="1" customWidth="1"/>
    <col min="13583" max="13824" width="9.109375" style="110"/>
    <col min="13825" max="13825" width="1.6640625" style="110" customWidth="1"/>
    <col min="13826" max="13826" width="24.6640625" style="110" customWidth="1"/>
    <col min="13827" max="13831" width="16.33203125" style="110" customWidth="1"/>
    <col min="13832" max="13832" width="2.6640625" style="110" customWidth="1"/>
    <col min="13833" max="13833" width="9.109375" style="110" bestFit="1" customWidth="1"/>
    <col min="13834" max="13835" width="9.109375" style="110"/>
    <col min="13836" max="13836" width="16.44140625" style="110" customWidth="1"/>
    <col min="13837" max="13837" width="9.109375" style="110"/>
    <col min="13838" max="13838" width="12.88671875" style="110" bestFit="1" customWidth="1"/>
    <col min="13839" max="14080" width="9.109375" style="110"/>
    <col min="14081" max="14081" width="1.6640625" style="110" customWidth="1"/>
    <col min="14082" max="14082" width="24.6640625" style="110" customWidth="1"/>
    <col min="14083" max="14087" width="16.33203125" style="110" customWidth="1"/>
    <col min="14088" max="14088" width="2.6640625" style="110" customWidth="1"/>
    <col min="14089" max="14089" width="9.109375" style="110" bestFit="1" customWidth="1"/>
    <col min="14090" max="14091" width="9.109375" style="110"/>
    <col min="14092" max="14092" width="16.44140625" style="110" customWidth="1"/>
    <col min="14093" max="14093" width="9.109375" style="110"/>
    <col min="14094" max="14094" width="12.88671875" style="110" bestFit="1" customWidth="1"/>
    <col min="14095" max="14336" width="9.109375" style="110"/>
    <col min="14337" max="14337" width="1.6640625" style="110" customWidth="1"/>
    <col min="14338" max="14338" width="24.6640625" style="110" customWidth="1"/>
    <col min="14339" max="14343" width="16.33203125" style="110" customWidth="1"/>
    <col min="14344" max="14344" width="2.6640625" style="110" customWidth="1"/>
    <col min="14345" max="14345" width="9.109375" style="110" bestFit="1" customWidth="1"/>
    <col min="14346" max="14347" width="9.109375" style="110"/>
    <col min="14348" max="14348" width="16.44140625" style="110" customWidth="1"/>
    <col min="14349" max="14349" width="9.109375" style="110"/>
    <col min="14350" max="14350" width="12.88671875" style="110" bestFit="1" customWidth="1"/>
    <col min="14351" max="14592" width="9.109375" style="110"/>
    <col min="14593" max="14593" width="1.6640625" style="110" customWidth="1"/>
    <col min="14594" max="14594" width="24.6640625" style="110" customWidth="1"/>
    <col min="14595" max="14599" width="16.33203125" style="110" customWidth="1"/>
    <col min="14600" max="14600" width="2.6640625" style="110" customWidth="1"/>
    <col min="14601" max="14601" width="9.109375" style="110" bestFit="1" customWidth="1"/>
    <col min="14602" max="14603" width="9.109375" style="110"/>
    <col min="14604" max="14604" width="16.44140625" style="110" customWidth="1"/>
    <col min="14605" max="14605" width="9.109375" style="110"/>
    <col min="14606" max="14606" width="12.88671875" style="110" bestFit="1" customWidth="1"/>
    <col min="14607" max="14848" width="9.109375" style="110"/>
    <col min="14849" max="14849" width="1.6640625" style="110" customWidth="1"/>
    <col min="14850" max="14850" width="24.6640625" style="110" customWidth="1"/>
    <col min="14851" max="14855" width="16.33203125" style="110" customWidth="1"/>
    <col min="14856" max="14856" width="2.6640625" style="110" customWidth="1"/>
    <col min="14857" max="14857" width="9.109375" style="110" bestFit="1" customWidth="1"/>
    <col min="14858" max="14859" width="9.109375" style="110"/>
    <col min="14860" max="14860" width="16.44140625" style="110" customWidth="1"/>
    <col min="14861" max="14861" width="9.109375" style="110"/>
    <col min="14862" max="14862" width="12.88671875" style="110" bestFit="1" customWidth="1"/>
    <col min="14863" max="15104" width="9.109375" style="110"/>
    <col min="15105" max="15105" width="1.6640625" style="110" customWidth="1"/>
    <col min="15106" max="15106" width="24.6640625" style="110" customWidth="1"/>
    <col min="15107" max="15111" width="16.33203125" style="110" customWidth="1"/>
    <col min="15112" max="15112" width="2.6640625" style="110" customWidth="1"/>
    <col min="15113" max="15113" width="9.109375" style="110" bestFit="1" customWidth="1"/>
    <col min="15114" max="15115" width="9.109375" style="110"/>
    <col min="15116" max="15116" width="16.44140625" style="110" customWidth="1"/>
    <col min="15117" max="15117" width="9.109375" style="110"/>
    <col min="15118" max="15118" width="12.88671875" style="110" bestFit="1" customWidth="1"/>
    <col min="15119" max="15360" width="9.109375" style="110"/>
    <col min="15361" max="15361" width="1.6640625" style="110" customWidth="1"/>
    <col min="15362" max="15362" width="24.6640625" style="110" customWidth="1"/>
    <col min="15363" max="15367" width="16.33203125" style="110" customWidth="1"/>
    <col min="15368" max="15368" width="2.6640625" style="110" customWidth="1"/>
    <col min="15369" max="15369" width="9.109375" style="110" bestFit="1" customWidth="1"/>
    <col min="15370" max="15371" width="9.109375" style="110"/>
    <col min="15372" max="15372" width="16.44140625" style="110" customWidth="1"/>
    <col min="15373" max="15373" width="9.109375" style="110"/>
    <col min="15374" max="15374" width="12.88671875" style="110" bestFit="1" customWidth="1"/>
    <col min="15375" max="15616" width="9.109375" style="110"/>
    <col min="15617" max="15617" width="1.6640625" style="110" customWidth="1"/>
    <col min="15618" max="15618" width="24.6640625" style="110" customWidth="1"/>
    <col min="15619" max="15623" width="16.33203125" style="110" customWidth="1"/>
    <col min="15624" max="15624" width="2.6640625" style="110" customWidth="1"/>
    <col min="15625" max="15625" width="9.109375" style="110" bestFit="1" customWidth="1"/>
    <col min="15626" max="15627" width="9.109375" style="110"/>
    <col min="15628" max="15628" width="16.44140625" style="110" customWidth="1"/>
    <col min="15629" max="15629" width="9.109375" style="110"/>
    <col min="15630" max="15630" width="12.88671875" style="110" bestFit="1" customWidth="1"/>
    <col min="15631" max="15872" width="9.109375" style="110"/>
    <col min="15873" max="15873" width="1.6640625" style="110" customWidth="1"/>
    <col min="15874" max="15874" width="24.6640625" style="110" customWidth="1"/>
    <col min="15875" max="15879" width="16.33203125" style="110" customWidth="1"/>
    <col min="15880" max="15880" width="2.6640625" style="110" customWidth="1"/>
    <col min="15881" max="15881" width="9.109375" style="110" bestFit="1" customWidth="1"/>
    <col min="15882" max="15883" width="9.109375" style="110"/>
    <col min="15884" max="15884" width="16.44140625" style="110" customWidth="1"/>
    <col min="15885" max="15885" width="9.109375" style="110"/>
    <col min="15886" max="15886" width="12.88671875" style="110" bestFit="1" customWidth="1"/>
    <col min="15887" max="16128" width="9.109375" style="110"/>
    <col min="16129" max="16129" width="1.6640625" style="110" customWidth="1"/>
    <col min="16130" max="16130" width="24.6640625" style="110" customWidth="1"/>
    <col min="16131" max="16135" width="16.33203125" style="110" customWidth="1"/>
    <col min="16136" max="16136" width="2.6640625" style="110" customWidth="1"/>
    <col min="16137" max="16137" width="9.109375" style="110" bestFit="1" customWidth="1"/>
    <col min="16138" max="16139" width="9.109375" style="110"/>
    <col min="16140" max="16140" width="16.44140625" style="110" customWidth="1"/>
    <col min="16141" max="16141" width="9.109375" style="110"/>
    <col min="16142" max="16142" width="12.88671875" style="110" bestFit="1" customWidth="1"/>
    <col min="16143" max="16384" width="9.109375" style="110"/>
  </cols>
  <sheetData>
    <row r="1" spans="1:74" s="108" customFormat="1" ht="21.75" customHeight="1">
      <c r="A1" s="900" t="s">
        <v>161</v>
      </c>
      <c r="B1" s="900"/>
      <c r="C1" s="900"/>
      <c r="D1" s="900"/>
      <c r="E1" s="900"/>
      <c r="F1" s="900"/>
      <c r="G1" s="900"/>
      <c r="J1" s="109"/>
    </row>
    <row r="2" spans="1:74" ht="8.25" customHeight="1">
      <c r="A2" s="151"/>
      <c r="B2" s="151"/>
      <c r="C2" s="151"/>
      <c r="D2" s="463"/>
      <c r="E2" s="901"/>
      <c r="F2" s="901"/>
      <c r="G2" s="901"/>
    </row>
    <row r="3" spans="1:74" s="108" customFormat="1" ht="15" customHeight="1" thickBot="1">
      <c r="A3" s="152"/>
      <c r="B3" s="464" t="s">
        <v>162</v>
      </c>
      <c r="C3" s="465">
        <f>INPUT!B7</f>
        <v>677</v>
      </c>
      <c r="D3" s="152"/>
      <c r="E3" s="466"/>
      <c r="F3" s="467"/>
      <c r="G3" s="152"/>
      <c r="J3" s="63"/>
    </row>
    <row r="4" spans="1:74" s="108" customFormat="1" ht="15" customHeight="1" thickTop="1" thickBot="1">
      <c r="A4" s="152"/>
      <c r="B4" s="464" t="s">
        <v>12</v>
      </c>
      <c r="C4" s="468">
        <f ca="1">TODAY()</f>
        <v>46232</v>
      </c>
      <c r="D4" s="152"/>
      <c r="E4" s="466"/>
      <c r="F4" s="469"/>
      <c r="G4" s="470"/>
      <c r="J4" s="111"/>
    </row>
    <row r="5" spans="1:74" s="108" customFormat="1" ht="15" customHeight="1" thickTop="1" thickBot="1">
      <c r="A5" s="152"/>
      <c r="B5" s="464" t="s">
        <v>84</v>
      </c>
      <c r="C5" s="471">
        <f>INPUT!B5</f>
        <v>46031</v>
      </c>
      <c r="D5" s="472"/>
      <c r="E5" s="473"/>
      <c r="F5" s="469"/>
      <c r="G5" s="470"/>
      <c r="J5" s="111"/>
    </row>
    <row r="6" spans="1:74" s="108" customFormat="1" ht="15" customHeight="1" thickTop="1" thickBot="1">
      <c r="A6" s="152"/>
      <c r="B6" s="474" t="str">
        <f>IF(INPUT!J3=FALSE,"AAB Application #:","Transfer Document #:")</f>
        <v>Transfer Document #:</v>
      </c>
      <c r="C6" s="475" t="str">
        <f>IFERROR(IF(INPUT!J3, INPUT!B12, INPUT!B16),"")</f>
        <v>2026-0006707</v>
      </c>
      <c r="D6" s="152"/>
      <c r="E6" s="473"/>
      <c r="F6" s="467"/>
      <c r="G6" s="470"/>
      <c r="J6" s="111"/>
    </row>
    <row r="7" spans="1:74" ht="15" customHeight="1" thickTop="1">
      <c r="A7" s="151"/>
      <c r="B7" s="476"/>
      <c r="C7" s="906"/>
      <c r="D7" s="908"/>
      <c r="E7" s="910"/>
      <c r="F7" s="912"/>
      <c r="G7" s="914"/>
      <c r="J7" s="111"/>
    </row>
    <row r="8" spans="1:74" ht="18.600000000000001" thickBot="1">
      <c r="A8" s="151"/>
      <c r="B8" s="477" t="s">
        <v>83</v>
      </c>
      <c r="C8" s="907"/>
      <c r="D8" s="909"/>
      <c r="E8" s="911"/>
      <c r="F8" s="913"/>
      <c r="G8" s="915"/>
      <c r="J8" s="111"/>
      <c r="K8" s="113"/>
      <c r="L8" s="113"/>
      <c r="M8" s="113"/>
      <c r="N8" s="113"/>
      <c r="O8" s="113"/>
      <c r="P8" s="113"/>
      <c r="Q8" s="113"/>
      <c r="R8" s="113"/>
      <c r="S8" s="113"/>
    </row>
    <row r="9" spans="1:74" s="108" customFormat="1" ht="14.25" customHeight="1" thickTop="1">
      <c r="A9" s="152"/>
      <c r="B9" s="478" t="s">
        <v>82</v>
      </c>
      <c r="C9" s="479" t="s">
        <v>163</v>
      </c>
      <c r="D9" s="479" t="s">
        <v>164</v>
      </c>
      <c r="E9" s="479" t="s">
        <v>165</v>
      </c>
      <c r="F9" s="479" t="s">
        <v>166</v>
      </c>
      <c r="G9" s="479" t="s">
        <v>167</v>
      </c>
      <c r="J9" s="111"/>
      <c r="K9" s="114"/>
      <c r="L9" s="114"/>
      <c r="M9" s="115"/>
      <c r="N9" s="116"/>
      <c r="O9" s="114"/>
      <c r="P9" s="114"/>
      <c r="Q9" s="114"/>
      <c r="R9" s="114"/>
      <c r="S9" s="114"/>
      <c r="BA9" s="112"/>
      <c r="BB9" s="112"/>
      <c r="BC9" s="112"/>
      <c r="BD9" s="112"/>
      <c r="BE9" s="112"/>
      <c r="BF9" s="112"/>
      <c r="BG9" s="112"/>
      <c r="BH9" s="112"/>
      <c r="BI9" s="112"/>
      <c r="BJ9" s="112"/>
      <c r="BK9" s="112"/>
      <c r="BL9" s="112"/>
      <c r="BM9" s="112"/>
      <c r="BN9" s="112"/>
      <c r="BO9" s="112"/>
      <c r="BP9" s="112"/>
      <c r="BQ9" s="112"/>
      <c r="BR9" s="112"/>
      <c r="BS9" s="112"/>
      <c r="BT9" s="112"/>
      <c r="BU9" s="112"/>
      <c r="BV9" s="112"/>
    </row>
    <row r="10" spans="1:74" s="108" customFormat="1" ht="14.25" customHeight="1">
      <c r="A10" s="152"/>
      <c r="B10" s="168" t="s">
        <v>168</v>
      </c>
      <c r="C10" s="480">
        <f>INPUT!B30</f>
        <v>107350009</v>
      </c>
      <c r="D10" s="481">
        <f>IFERROR(VLOOKUP(1, 'Arranged Comps'!A:U,2,FALSE),"")</f>
        <v>101370038</v>
      </c>
      <c r="E10" s="481">
        <f>IFERROR(VLOOKUP(2, 'Arranged Comps'!A:U,2,FALSE),"")</f>
        <v>115200043</v>
      </c>
      <c r="F10" s="481">
        <f>IFERROR(VLOOKUP(3, 'Arranged Comps'!A:U,2,FALSE),"")</f>
        <v>107350010</v>
      </c>
      <c r="G10" s="481">
        <f>IFERROR(VLOOKUP(4, 'Arranged Comps'!A:U,2,FALSE),"")</f>
        <v>211060012</v>
      </c>
      <c r="J10" s="111"/>
      <c r="K10" s="114"/>
      <c r="L10" s="114"/>
      <c r="M10" s="115"/>
      <c r="N10" s="116"/>
      <c r="O10" s="114"/>
      <c r="P10" s="114"/>
      <c r="Q10" s="114"/>
      <c r="R10" s="114"/>
      <c r="S10" s="114"/>
    </row>
    <row r="11" spans="1:74" s="182" customFormat="1" ht="15.6">
      <c r="A11" s="482"/>
      <c r="B11" s="483" t="s">
        <v>169</v>
      </c>
      <c r="C11" s="484" t="str">
        <f>IF(ISBLANK(INPUT!B31), INPUT!B43, INPUT!B31)</f>
        <v>1215 GRAPHITE DR</v>
      </c>
      <c r="D11" s="485" t="str">
        <f>IFERROR(VLOOKUP(1, 'Arranged Comps'!A:U,14,FALSE),"")</f>
        <v>255 GLIDER CIR</v>
      </c>
      <c r="E11" s="485" t="str">
        <f>IFERROR(VLOOKUP(2, 'Arranged Comps'!A:U,14,FALSE),"")</f>
        <v>127 RADIO RD</v>
      </c>
      <c r="F11" s="485" t="str">
        <f>IFERROR(VLOOKUP(3, 'Arranged Comps'!A:U,14,FALSE),"")</f>
        <v>1220 GRAPHITE DR</v>
      </c>
      <c r="G11" s="485" t="str">
        <f>IFERROR(VLOOKUP(4, 'Arranged Comps'!A:U,14,FALSE),"")</f>
        <v>3403 DURAHART ST</v>
      </c>
      <c r="J11" s="183"/>
      <c r="K11" s="184"/>
      <c r="L11" s="185"/>
      <c r="M11" s="186"/>
      <c r="N11" s="187"/>
      <c r="O11" s="188"/>
      <c r="P11" s="188"/>
      <c r="Q11" s="188"/>
      <c r="R11" s="188"/>
      <c r="S11" s="188"/>
    </row>
    <row r="12" spans="1:74" s="108" customFormat="1" ht="14.25" customHeight="1">
      <c r="A12" s="152"/>
      <c r="B12" s="168" t="s">
        <v>13</v>
      </c>
      <c r="C12" s="486" t="str">
        <f>INPUT!B32</f>
        <v>CORONA</v>
      </c>
      <c r="D12" s="487" t="str">
        <f>IFERROR(VLOOKUP(1, 'Arranged Comps'!A:U,15,FALSE),"")</f>
        <v>CORONA</v>
      </c>
      <c r="E12" s="487" t="str">
        <f>IFERROR(VLOOKUP(2, 'Arranged Comps'!A:U,15,FALSE),"")</f>
        <v>CORONA</v>
      </c>
      <c r="F12" s="487" t="str">
        <f>IFERROR(VLOOKUP(3, 'Arranged Comps'!A:U,15,FALSE),"")</f>
        <v>CORONA</v>
      </c>
      <c r="G12" s="487" t="str">
        <f>IFERROR(VLOOKUP(4, 'Arranged Comps'!A:U,15,FALSE),"")</f>
        <v>RIVERSIDE</v>
      </c>
      <c r="J12" s="117"/>
      <c r="K12" s="140"/>
      <c r="L12" s="142"/>
      <c r="M12" s="143"/>
      <c r="N12" s="141"/>
      <c r="O12" s="114"/>
      <c r="P12" s="114"/>
      <c r="Q12" s="114"/>
      <c r="R12" s="114"/>
      <c r="S12" s="114"/>
    </row>
    <row r="13" spans="1:74" s="108" customFormat="1" ht="14.25" customHeight="1">
      <c r="A13" s="152"/>
      <c r="B13" s="169" t="s">
        <v>23</v>
      </c>
      <c r="C13" s="488" t="str">
        <f>INPUT!B39</f>
        <v>M4</v>
      </c>
      <c r="D13" s="489" t="str">
        <f>IFERROR(VLOOKUP(1, 'Arranged Comps'!A:V,22,FALSE),"")</f>
        <v>M1</v>
      </c>
      <c r="E13" s="489" t="str">
        <f>IFERROR(VLOOKUP(2, 'Arranged Comps'!A:V,22,FALSE),"")</f>
        <v>M1</v>
      </c>
      <c r="F13" s="489" t="str">
        <f>IFERROR(VLOOKUP(3, 'Arranged Comps'!A:V,22,FALSE),"")</f>
        <v>M4</v>
      </c>
      <c r="G13" s="489" t="str">
        <f>IFERROR(VLOOKUP(4, 'Arranged Comps'!A:V,22,FALSE),"")</f>
        <v>M1</v>
      </c>
      <c r="J13" s="117"/>
      <c r="K13" s="140"/>
      <c r="L13" s="142"/>
      <c r="M13" s="143"/>
      <c r="N13" s="141"/>
      <c r="O13" s="114"/>
      <c r="P13" s="114"/>
      <c r="Q13" s="114"/>
      <c r="R13" s="114"/>
      <c r="S13" s="114"/>
    </row>
    <row r="14" spans="1:74" s="108" customFormat="1" ht="14.25" customHeight="1">
      <c r="A14" s="152"/>
      <c r="B14" s="168" t="s">
        <v>80</v>
      </c>
      <c r="C14" s="490"/>
      <c r="D14" s="491">
        <f>IFERROR(VLOOKUP(1, 'Arranged Comps'!A:U,3,FALSE),"")</f>
        <v>46114</v>
      </c>
      <c r="E14" s="491">
        <f>IFERROR(VLOOKUP(2, 'Arranged Comps'!A:U,3,FALSE),"")</f>
        <v>46021</v>
      </c>
      <c r="F14" s="491">
        <f>IFERROR(VLOOKUP(3, 'Arranged Comps'!A:U,3,FALSE),"")</f>
        <v>45817</v>
      </c>
      <c r="G14" s="491">
        <f>IFERROR(VLOOKUP(4, 'Arranged Comps'!A:U,3,FALSE),"")</f>
        <v>46027</v>
      </c>
      <c r="J14" s="117"/>
      <c r="K14" s="140"/>
      <c r="L14" s="142"/>
      <c r="M14" s="143"/>
      <c r="N14" s="141"/>
      <c r="O14" s="114"/>
      <c r="P14" s="114"/>
      <c r="Q14" s="114"/>
      <c r="R14" s="114"/>
      <c r="S14" s="114"/>
    </row>
    <row r="15" spans="1:74" s="108" customFormat="1" ht="14.25" customHeight="1">
      <c r="A15" s="152"/>
      <c r="B15" s="170" t="s">
        <v>170</v>
      </c>
      <c r="C15" s="492">
        <f>INPUT!B25</f>
        <v>0</v>
      </c>
      <c r="D15" s="493">
        <f>IFERROR(VLOOKUP(1, 'Arranged Comps'!A:U,5,FALSE),"")</f>
        <v>5300000</v>
      </c>
      <c r="E15" s="493">
        <f>IFERROR(VLOOKUP(2, 'Arranged Comps'!A:U,5,FALSE),"")</f>
        <v>2675000</v>
      </c>
      <c r="F15" s="493">
        <f>IFERROR(VLOOKUP(3, 'Arranged Comps'!A:U,5,FALSE),"")</f>
        <v>6400000</v>
      </c>
      <c r="G15" s="493">
        <f>IFERROR(VLOOKUP(4, 'Arranged Comps'!A:U,5,FALSE),"")</f>
        <v>1570000</v>
      </c>
      <c r="J15" s="117"/>
      <c r="K15" s="140"/>
      <c r="L15" s="142"/>
      <c r="M15" s="143"/>
      <c r="N15" s="141"/>
      <c r="O15" s="114"/>
      <c r="P15" s="114"/>
      <c r="Q15" s="114"/>
      <c r="R15" s="114"/>
      <c r="S15" s="114"/>
      <c r="BA15" s="118"/>
      <c r="BB15" s="118"/>
      <c r="BC15" s="118"/>
      <c r="BD15" s="118"/>
      <c r="BE15" s="118"/>
      <c r="BF15" s="118"/>
      <c r="BG15" s="118"/>
      <c r="BH15" s="118"/>
      <c r="BI15" s="118"/>
      <c r="BJ15" s="118"/>
      <c r="BK15" s="118"/>
      <c r="BL15" s="118"/>
      <c r="BM15" s="118"/>
      <c r="BN15" s="118"/>
    </row>
    <row r="16" spans="1:74" s="108" customFormat="1" ht="14.25" customHeight="1">
      <c r="A16" s="152"/>
      <c r="B16" s="168" t="s">
        <v>171</v>
      </c>
      <c r="C16" s="494" t="str">
        <f>IF(C15=0,"N/A","Adj")</f>
        <v>N/A</v>
      </c>
      <c r="D16" s="495" t="s">
        <v>172</v>
      </c>
      <c r="E16" s="495" t="s">
        <v>172</v>
      </c>
      <c r="F16" s="495" t="s">
        <v>172</v>
      </c>
      <c r="G16" s="496" t="s">
        <v>172</v>
      </c>
      <c r="J16" s="117"/>
      <c r="K16" s="140"/>
      <c r="L16" s="142"/>
      <c r="M16" s="143"/>
      <c r="N16" s="141"/>
      <c r="O16" s="114"/>
      <c r="P16" s="114"/>
      <c r="Q16" s="114"/>
      <c r="R16" s="114"/>
      <c r="S16" s="114"/>
      <c r="BA16" s="118"/>
      <c r="BB16" s="118"/>
      <c r="BC16" s="118"/>
      <c r="BD16" s="118"/>
      <c r="BE16" s="118"/>
      <c r="BF16" s="118"/>
      <c r="BG16" s="118"/>
      <c r="BH16" s="118"/>
      <c r="BI16" s="118"/>
      <c r="BJ16" s="118"/>
      <c r="BK16" s="118"/>
      <c r="BL16" s="118"/>
      <c r="BM16" s="118"/>
      <c r="BN16" s="118"/>
    </row>
    <row r="17" spans="1:66" s="108" customFormat="1" ht="14.25" customHeight="1">
      <c r="A17" s="152"/>
      <c r="B17" s="169" t="s">
        <v>140</v>
      </c>
      <c r="C17" s="497">
        <f>INPUT!B38</f>
        <v>0.68</v>
      </c>
      <c r="D17" s="498">
        <f>IFERROR(VLOOKUP(1, 'Arranged Comps'!A:U,16,FALSE),"")</f>
        <v>0.96</v>
      </c>
      <c r="E17" s="498">
        <f>IFERROR(VLOOKUP(2, 'Arranged Comps'!A:U,16,FALSE),"")</f>
        <v>0.51</v>
      </c>
      <c r="F17" s="498">
        <f>IFERROR(VLOOKUP(3, 'Arranged Comps'!A:U,16,FALSE),"")</f>
        <v>0.99</v>
      </c>
      <c r="G17" s="499">
        <f>IFERROR(VLOOKUP(4, 'Arranged Comps'!A:U,16,FALSE),"")</f>
        <v>0.36</v>
      </c>
      <c r="J17" s="117"/>
      <c r="K17" s="140"/>
      <c r="L17" s="142"/>
      <c r="M17" s="144"/>
      <c r="N17" s="141"/>
      <c r="O17" s="114"/>
      <c r="P17" s="114"/>
      <c r="Q17" s="114"/>
      <c r="R17" s="114"/>
      <c r="S17" s="114"/>
      <c r="BA17" s="118"/>
      <c r="BB17" s="118"/>
      <c r="BC17" s="118"/>
      <c r="BD17" s="118"/>
      <c r="BE17" s="118"/>
      <c r="BF17" s="118"/>
      <c r="BG17" s="118"/>
      <c r="BH17" s="118"/>
      <c r="BI17" s="118"/>
      <c r="BJ17" s="118"/>
      <c r="BK17" s="118"/>
      <c r="BL17" s="118"/>
      <c r="BM17" s="118"/>
      <c r="BN17" s="118"/>
    </row>
    <row r="18" spans="1:66" s="108" customFormat="1" ht="14.25" customHeight="1">
      <c r="A18" s="152"/>
      <c r="B18" s="168" t="s">
        <v>173</v>
      </c>
      <c r="C18" s="500">
        <f>IF(C17&gt;0,C17*43560,0)</f>
        <v>29620.800000000003</v>
      </c>
      <c r="D18" s="500">
        <f>IFERROR(IF(D17&gt;0,D17*43560,0),"")</f>
        <v>41817.599999999999</v>
      </c>
      <c r="E18" s="500">
        <f>IFERROR(IF(E17&gt;0,E17*43560,0),"")</f>
        <v>22215.600000000002</v>
      </c>
      <c r="F18" s="500">
        <f>IFERROR(IF(F17&gt;0,F17*43560,0),"")</f>
        <v>43124.4</v>
      </c>
      <c r="G18" s="500">
        <f>IFERROR(IF(G17&gt;0,G17*43560,0),"")</f>
        <v>15681.599999999999</v>
      </c>
      <c r="J18" s="117"/>
      <c r="K18" s="140"/>
      <c r="L18" s="142"/>
      <c r="M18" s="144"/>
      <c r="N18" s="141"/>
      <c r="O18" s="114"/>
      <c r="P18" s="114"/>
      <c r="Q18" s="114"/>
      <c r="R18" s="114"/>
      <c r="S18" s="114"/>
      <c r="BA18" s="118"/>
      <c r="BB18" s="118"/>
      <c r="BC18" s="118"/>
      <c r="BD18" s="118"/>
      <c r="BE18" s="118"/>
      <c r="BF18" s="118"/>
      <c r="BG18" s="118"/>
      <c r="BH18" s="118"/>
      <c r="BI18" s="118"/>
      <c r="BJ18" s="118"/>
      <c r="BK18" s="118"/>
      <c r="BL18" s="118"/>
      <c r="BM18" s="118"/>
      <c r="BN18" s="118"/>
    </row>
    <row r="19" spans="1:66" s="108" customFormat="1" ht="14.25" customHeight="1" thickBot="1">
      <c r="A19" s="152"/>
      <c r="B19" s="501" t="s">
        <v>174</v>
      </c>
      <c r="C19" s="502">
        <f>INPUT!B42</f>
        <v>1</v>
      </c>
      <c r="D19" s="502">
        <v>1</v>
      </c>
      <c r="E19" s="502">
        <v>1</v>
      </c>
      <c r="F19" s="502">
        <v>1</v>
      </c>
      <c r="G19" s="503">
        <v>1</v>
      </c>
      <c r="J19" s="117"/>
      <c r="K19" s="140"/>
      <c r="L19" s="142"/>
      <c r="M19" s="144"/>
      <c r="N19" s="141"/>
      <c r="O19" s="114"/>
      <c r="P19" s="114"/>
      <c r="Q19" s="114"/>
      <c r="R19" s="114"/>
      <c r="S19" s="114"/>
      <c r="BA19" s="118"/>
      <c r="BB19" s="118"/>
      <c r="BC19" s="118"/>
      <c r="BD19" s="118"/>
      <c r="BE19" s="118"/>
      <c r="BF19" s="118"/>
      <c r="BG19" s="118"/>
      <c r="BH19" s="118"/>
      <c r="BI19" s="118"/>
      <c r="BJ19" s="118"/>
      <c r="BK19" s="118"/>
      <c r="BL19" s="118"/>
      <c r="BM19" s="118"/>
      <c r="BN19" s="118"/>
    </row>
    <row r="20" spans="1:66" s="108" customFormat="1" ht="18" customHeight="1" thickTop="1" thickBot="1">
      <c r="A20" s="152"/>
      <c r="B20" s="902" t="s">
        <v>76</v>
      </c>
      <c r="C20" s="903"/>
      <c r="D20" s="903"/>
      <c r="E20" s="903"/>
      <c r="F20" s="903"/>
      <c r="G20" s="904"/>
      <c r="J20" s="117"/>
      <c r="K20" s="140"/>
      <c r="L20" s="142"/>
      <c r="M20" s="144"/>
      <c r="N20" s="145"/>
      <c r="O20" s="114"/>
      <c r="P20" s="114"/>
      <c r="Q20" s="114"/>
      <c r="R20" s="114"/>
      <c r="S20" s="114"/>
      <c r="BA20" s="118"/>
      <c r="BB20" s="118"/>
      <c r="BC20" s="118"/>
      <c r="BD20" s="118"/>
      <c r="BE20" s="118"/>
      <c r="BF20" s="118"/>
      <c r="BG20" s="118"/>
      <c r="BH20" s="118"/>
      <c r="BI20" s="118"/>
      <c r="BJ20" s="118"/>
      <c r="BK20" s="118"/>
      <c r="BL20" s="118"/>
      <c r="BM20" s="118"/>
      <c r="BN20" s="118"/>
    </row>
    <row r="21" spans="1:66" s="108" customFormat="1" ht="15" customHeight="1" thickTop="1">
      <c r="A21" s="152"/>
      <c r="B21" s="504" t="s">
        <v>75</v>
      </c>
      <c r="C21" s="505">
        <f>IF(C18&gt;0,C15/C18,0)</f>
        <v>0</v>
      </c>
      <c r="D21" s="506">
        <f>IFERROR(IF(D18&gt;0,D15/D18,0),"")</f>
        <v>126.74089378634834</v>
      </c>
      <c r="E21" s="506">
        <f>IFERROR(IF(E18&gt;0,E15/E18,0),"")</f>
        <v>120.41088244296799</v>
      </c>
      <c r="F21" s="506">
        <f>IFERROR(IF(F18&gt;0,F15/F18,0),"")</f>
        <v>148.4078619064845</v>
      </c>
      <c r="G21" s="506">
        <f>IFERROR(IF(G18&gt;0,G15/G18,0),"")</f>
        <v>100.11733496581982</v>
      </c>
      <c r="J21" s="117"/>
      <c r="K21" s="140"/>
      <c r="L21" s="142"/>
      <c r="M21" s="144"/>
      <c r="N21" s="140"/>
      <c r="O21" s="114"/>
      <c r="P21" s="114"/>
      <c r="Q21" s="114"/>
      <c r="R21" s="114"/>
      <c r="S21" s="114"/>
      <c r="BA21" s="118"/>
      <c r="BB21" s="118"/>
      <c r="BC21" s="118"/>
      <c r="BD21" s="118"/>
      <c r="BE21" s="118"/>
      <c r="BF21" s="118"/>
      <c r="BG21" s="118"/>
      <c r="BH21" s="118"/>
      <c r="BI21" s="118"/>
      <c r="BJ21" s="118"/>
      <c r="BK21" s="118"/>
      <c r="BL21" s="118"/>
      <c r="BM21" s="118"/>
      <c r="BN21" s="118"/>
    </row>
    <row r="22" spans="1:66" s="108" customFormat="1" ht="15" customHeight="1">
      <c r="A22" s="152"/>
      <c r="B22" s="169" t="s">
        <v>175</v>
      </c>
      <c r="C22" s="507"/>
      <c r="D22" s="511"/>
      <c r="E22" s="511"/>
      <c r="F22" s="511"/>
      <c r="G22" s="511"/>
      <c r="I22" s="119"/>
      <c r="J22" s="117"/>
      <c r="K22" s="146"/>
      <c r="L22" s="142"/>
      <c r="M22" s="144"/>
      <c r="N22" s="140"/>
      <c r="O22" s="114"/>
      <c r="P22" s="114"/>
      <c r="Q22" s="114"/>
      <c r="R22" s="114"/>
      <c r="S22" s="114"/>
      <c r="BA22" s="118"/>
      <c r="BB22" s="118"/>
      <c r="BC22" s="118"/>
      <c r="BD22" s="118"/>
      <c r="BE22" s="118"/>
      <c r="BF22" s="118"/>
      <c r="BG22" s="118"/>
      <c r="BH22" s="118"/>
      <c r="BI22" s="118"/>
      <c r="BJ22" s="118"/>
      <c r="BK22" s="118"/>
      <c r="BL22" s="118"/>
      <c r="BM22" s="118"/>
      <c r="BN22" s="118"/>
    </row>
    <row r="23" spans="1:66" s="108" customFormat="1" ht="15" customHeight="1">
      <c r="A23" s="152"/>
      <c r="B23" s="168" t="s">
        <v>176</v>
      </c>
      <c r="C23" s="507"/>
      <c r="D23" s="155"/>
      <c r="E23" s="155"/>
      <c r="F23" s="155"/>
      <c r="G23" s="155"/>
      <c r="I23" s="119"/>
      <c r="J23" s="117"/>
      <c r="K23" s="146"/>
      <c r="L23" s="142"/>
      <c r="M23" s="144"/>
      <c r="N23" s="140"/>
      <c r="O23" s="114"/>
      <c r="P23" s="114"/>
      <c r="Q23" s="114"/>
      <c r="R23" s="114"/>
      <c r="S23" s="114"/>
      <c r="BA23" s="118"/>
      <c r="BB23" s="118"/>
      <c r="BC23" s="118"/>
      <c r="BD23" s="118"/>
      <c r="BE23" s="118"/>
      <c r="BF23" s="118"/>
      <c r="BG23" s="118"/>
      <c r="BH23" s="118"/>
      <c r="BI23" s="118"/>
      <c r="BJ23" s="118"/>
      <c r="BK23" s="118"/>
      <c r="BL23" s="118"/>
      <c r="BM23" s="118"/>
      <c r="BN23" s="118"/>
    </row>
    <row r="24" spans="1:66" s="108" customFormat="1" ht="15" customHeight="1" thickBot="1">
      <c r="A24" s="152"/>
      <c r="B24" s="508" t="s">
        <v>177</v>
      </c>
      <c r="C24" s="509"/>
      <c r="D24" s="510">
        <f>IFERROR(ROUND((D21*(1+D22))*(1+D23),2),"")</f>
        <v>126.74</v>
      </c>
      <c r="E24" s="510">
        <f>IFERROR(ROUND((E21*(1+E22))*(1+E23),2),"")</f>
        <v>120.41</v>
      </c>
      <c r="F24" s="510">
        <f>IFERROR(ROUND((F21*(1+F22))*(1+F23),2),"")</f>
        <v>148.41</v>
      </c>
      <c r="G24" s="510">
        <f>IFERROR(ROUND((G21*(1+G22))*(1+G23),2),"")</f>
        <v>100.12</v>
      </c>
      <c r="J24" s="120"/>
      <c r="K24" s="147"/>
      <c r="L24" s="142"/>
      <c r="M24" s="144"/>
      <c r="N24" s="148"/>
      <c r="BA24" s="118"/>
      <c r="BB24" s="118"/>
      <c r="BC24" s="118"/>
      <c r="BD24" s="118"/>
      <c r="BE24" s="118"/>
      <c r="BF24" s="118"/>
      <c r="BG24" s="118"/>
      <c r="BH24" s="118"/>
      <c r="BI24" s="118"/>
      <c r="BJ24" s="118"/>
      <c r="BK24" s="118"/>
      <c r="BL24" s="118"/>
      <c r="BM24" s="118"/>
      <c r="BN24" s="118"/>
    </row>
    <row r="25" spans="1:66" s="108" customFormat="1" ht="18" customHeight="1" thickTop="1" thickBot="1">
      <c r="A25" s="152"/>
      <c r="B25" s="902" t="s">
        <v>178</v>
      </c>
      <c r="C25" s="903"/>
      <c r="D25" s="903"/>
      <c r="E25" s="903"/>
      <c r="F25" s="903"/>
      <c r="G25" s="904"/>
      <c r="J25" s="117"/>
      <c r="K25" s="147"/>
      <c r="L25" s="142"/>
      <c r="M25" s="144"/>
      <c r="N25" s="147"/>
      <c r="BA25" s="118"/>
      <c r="BB25" s="118"/>
      <c r="BC25" s="118"/>
      <c r="BD25" s="118"/>
      <c r="BE25" s="118"/>
      <c r="BF25" s="118"/>
      <c r="BG25" s="118"/>
      <c r="BH25" s="118"/>
      <c r="BI25" s="118"/>
      <c r="BJ25" s="118"/>
      <c r="BK25" s="118"/>
      <c r="BL25" s="118"/>
      <c r="BM25" s="118"/>
      <c r="BN25" s="118"/>
    </row>
    <row r="26" spans="1:66" s="108" customFormat="1" ht="15" customHeight="1" thickTop="1">
      <c r="A26" s="152"/>
      <c r="B26" s="181" t="s">
        <v>90</v>
      </c>
      <c r="C26" s="175"/>
      <c r="D26" s="171">
        <v>0</v>
      </c>
      <c r="E26" s="171">
        <v>0</v>
      </c>
      <c r="F26" s="171">
        <v>0.05</v>
      </c>
      <c r="G26" s="171">
        <v>0</v>
      </c>
      <c r="J26" s="117"/>
      <c r="K26" s="147"/>
      <c r="L26" s="149"/>
      <c r="M26" s="150"/>
      <c r="N26" s="147"/>
      <c r="BA26" s="118"/>
      <c r="BB26" s="118"/>
      <c r="BC26" s="118"/>
      <c r="BD26" s="118"/>
      <c r="BE26" s="118"/>
      <c r="BF26" s="118"/>
      <c r="BG26" s="118"/>
      <c r="BH26" s="118"/>
      <c r="BI26" s="118"/>
      <c r="BJ26" s="118"/>
      <c r="BK26" s="118"/>
      <c r="BL26" s="118"/>
      <c r="BM26" s="118"/>
      <c r="BN26" s="118"/>
    </row>
    <row r="27" spans="1:66" s="108" customFormat="1" ht="15" customHeight="1">
      <c r="A27" s="152"/>
      <c r="B27" s="169" t="s">
        <v>179</v>
      </c>
      <c r="C27" s="172"/>
      <c r="D27" s="156"/>
      <c r="E27" s="156">
        <v>0.05</v>
      </c>
      <c r="F27" s="156">
        <v>0.05</v>
      </c>
      <c r="G27" s="157">
        <v>0.1</v>
      </c>
      <c r="H27" s="108" t="s">
        <v>11</v>
      </c>
      <c r="J27" s="117"/>
      <c r="L27" s="122"/>
      <c r="M27" s="123"/>
    </row>
    <row r="28" spans="1:66" s="108" customFormat="1" ht="15" customHeight="1">
      <c r="A28" s="152"/>
      <c r="B28" s="168" t="s">
        <v>180</v>
      </c>
      <c r="C28" s="172"/>
      <c r="D28" s="155"/>
      <c r="E28" s="155"/>
      <c r="F28" s="155"/>
      <c r="G28" s="155"/>
      <c r="J28" s="117"/>
      <c r="L28" s="122"/>
      <c r="M28" s="123"/>
    </row>
    <row r="29" spans="1:66" s="108" customFormat="1" ht="15" customHeight="1">
      <c r="A29" s="152"/>
      <c r="B29" s="178" t="s">
        <v>192</v>
      </c>
      <c r="C29" s="173"/>
      <c r="D29" s="156"/>
      <c r="E29" s="156"/>
      <c r="F29" s="156"/>
      <c r="G29" s="156"/>
      <c r="J29" s="120"/>
      <c r="K29" s="124"/>
      <c r="L29" s="125"/>
      <c r="M29" s="123"/>
    </row>
    <row r="30" spans="1:66" s="108" customFormat="1" ht="15" customHeight="1">
      <c r="A30" s="152"/>
      <c r="B30" s="179" t="s">
        <v>181</v>
      </c>
      <c r="C30" s="173"/>
      <c r="D30" s="155"/>
      <c r="E30" s="155"/>
      <c r="F30" s="155"/>
      <c r="G30" s="155"/>
      <c r="J30" s="117"/>
      <c r="K30" s="126"/>
      <c r="L30" s="125"/>
      <c r="M30" s="123"/>
    </row>
    <row r="31" spans="1:66" s="108" customFormat="1" ht="15" customHeight="1">
      <c r="A31" s="152"/>
      <c r="B31" s="170" t="s">
        <v>182</v>
      </c>
      <c r="C31" s="172"/>
      <c r="D31" s="156"/>
      <c r="E31" s="156"/>
      <c r="F31" s="156"/>
      <c r="G31" s="156"/>
      <c r="J31" s="117"/>
      <c r="K31" s="126"/>
      <c r="L31" s="125"/>
      <c r="M31" s="123"/>
    </row>
    <row r="32" spans="1:66" s="108" customFormat="1" ht="15" customHeight="1">
      <c r="A32" s="152"/>
      <c r="B32" s="168" t="s">
        <v>23</v>
      </c>
      <c r="C32" s="172"/>
      <c r="D32" s="155"/>
      <c r="E32" s="155"/>
      <c r="F32" s="155"/>
      <c r="G32" s="155"/>
      <c r="J32" s="117"/>
      <c r="K32" s="126"/>
      <c r="L32" s="125"/>
      <c r="M32" s="123"/>
    </row>
    <row r="33" spans="1:14" s="108" customFormat="1" ht="15" customHeight="1">
      <c r="A33" s="152"/>
      <c r="B33" s="170" t="s">
        <v>183</v>
      </c>
      <c r="C33" s="172"/>
      <c r="D33" s="156"/>
      <c r="E33" s="156"/>
      <c r="F33" s="156"/>
      <c r="G33" s="156"/>
      <c r="J33" s="117"/>
      <c r="K33" s="126"/>
      <c r="L33" s="905" t="s">
        <v>298</v>
      </c>
      <c r="M33" s="905"/>
    </row>
    <row r="34" spans="1:14" s="108" customFormat="1" ht="15" customHeight="1">
      <c r="A34" s="152"/>
      <c r="B34" s="176" t="s">
        <v>184</v>
      </c>
      <c r="C34" s="174"/>
      <c r="D34" s="155"/>
      <c r="E34" s="155"/>
      <c r="F34" s="155"/>
      <c r="G34" s="155"/>
      <c r="J34" s="117"/>
      <c r="K34" s="126"/>
      <c r="L34" s="310" t="s">
        <v>190</v>
      </c>
      <c r="M34" s="514"/>
    </row>
    <row r="35" spans="1:14" s="108" customFormat="1" ht="15" customHeight="1">
      <c r="A35" s="152"/>
      <c r="B35" s="177" t="s">
        <v>185</v>
      </c>
      <c r="C35" s="174"/>
      <c r="D35" s="156"/>
      <c r="E35" s="156"/>
      <c r="F35" s="156"/>
      <c r="G35" s="156"/>
      <c r="J35" s="117"/>
      <c r="K35" s="126"/>
      <c r="L35" s="310" t="s">
        <v>191</v>
      </c>
      <c r="M35" s="514">
        <v>30</v>
      </c>
      <c r="N35" s="121"/>
    </row>
    <row r="36" spans="1:14" s="108" customFormat="1" ht="15" customHeight="1">
      <c r="A36" s="152"/>
      <c r="B36" s="180" t="s">
        <v>186</v>
      </c>
      <c r="C36" s="174"/>
      <c r="D36" s="155"/>
      <c r="E36" s="155"/>
      <c r="F36" s="155"/>
      <c r="G36" s="155"/>
      <c r="J36" s="117"/>
      <c r="K36" s="126"/>
      <c r="L36" s="125"/>
      <c r="M36" s="123"/>
    </row>
    <row r="37" spans="1:14" s="127" customFormat="1" ht="18" customHeight="1" thickBot="1">
      <c r="A37" s="153"/>
      <c r="B37" s="435" t="s">
        <v>62</v>
      </c>
      <c r="C37" s="436"/>
      <c r="D37" s="437" t="str">
        <f>IF(SUM(D26:D36)=0, "0%", SUM(D26:D36))</f>
        <v>0%</v>
      </c>
      <c r="E37" s="437">
        <f>IF(SUM(E26:E36)=0, "0%", SUM(E26:E36))</f>
        <v>0.05</v>
      </c>
      <c r="F37" s="438">
        <f>IF(SUM(F26:F36)=0, "0%", SUM(F26:F36))</f>
        <v>0.1</v>
      </c>
      <c r="G37" s="439">
        <f>IF(SUM(G26:G36)=0, "0%", SUM(G26:G36))</f>
        <v>0.1</v>
      </c>
      <c r="I37" s="128"/>
      <c r="J37" s="117"/>
      <c r="K37" s="126"/>
      <c r="L37" s="129"/>
      <c r="M37" s="130"/>
    </row>
    <row r="38" spans="1:14" s="108" customFormat="1" ht="18" customHeight="1" thickTop="1" thickBot="1">
      <c r="A38" s="152"/>
      <c r="B38" s="440" t="s">
        <v>187</v>
      </c>
      <c r="C38" s="441"/>
      <c r="D38" s="442">
        <f>IFERROR((D15+(D15*(D22+D23))+(D15*(1+D22))*D37)/D17,"")</f>
        <v>5520833.333333334</v>
      </c>
      <c r="E38" s="442">
        <f>IFERROR((E15+(E15*(E22+E23))+(E15*(1+E22))*E37)/E17,"")</f>
        <v>5507352.9411764704</v>
      </c>
      <c r="F38" s="442">
        <f>IFERROR((F15+(F15*(F22+F23))+(F15*(1+F22))*F37)/F17,"")</f>
        <v>7111111.111111111</v>
      </c>
      <c r="G38" s="442">
        <f>IFERROR((G15+(G15*(G22+G23))+(G15*(1+G22))*G37)/G17,"")</f>
        <v>4797222.222222222</v>
      </c>
      <c r="J38" s="117"/>
      <c r="K38" s="126"/>
      <c r="L38" s="125"/>
      <c r="M38" s="123"/>
    </row>
    <row r="39" spans="1:14" s="108" customFormat="1" ht="18" customHeight="1" thickTop="1" thickBot="1">
      <c r="A39" s="152"/>
      <c r="B39" s="443" t="s">
        <v>188</v>
      </c>
      <c r="C39" s="444"/>
      <c r="D39" s="445">
        <f>IFERROR(D24*(1+D37),"")</f>
        <v>126.74</v>
      </c>
      <c r="E39" s="445">
        <f>IFERROR(E24*(1+E37),"")</f>
        <v>126.43049999999999</v>
      </c>
      <c r="F39" s="445">
        <f>IFERROR(F24*(1+F37),"")</f>
        <v>163.251</v>
      </c>
      <c r="G39" s="445">
        <f>IFERROR(G24*(1+G37),"")</f>
        <v>110.13200000000002</v>
      </c>
      <c r="J39" s="117"/>
      <c r="K39" s="126"/>
      <c r="L39" s="125"/>
      <c r="M39" s="123"/>
    </row>
    <row r="40" spans="1:14" ht="7.5" customHeight="1" thickTop="1">
      <c r="A40" s="151"/>
      <c r="B40" s="446"/>
      <c r="C40" s="151"/>
      <c r="D40" s="447"/>
      <c r="E40" s="447"/>
      <c r="F40" s="447"/>
      <c r="G40" s="447"/>
      <c r="J40" s="111"/>
      <c r="K40" s="126"/>
      <c r="L40" s="132"/>
      <c r="M40" s="133"/>
    </row>
    <row r="41" spans="1:14" ht="15" customHeight="1">
      <c r="A41" s="151"/>
      <c r="B41" s="448" t="s">
        <v>189</v>
      </c>
      <c r="C41" s="449"/>
      <c r="D41" s="151"/>
      <c r="E41" s="151"/>
      <c r="F41" s="450" t="s">
        <v>60</v>
      </c>
      <c r="G41" s="151"/>
      <c r="J41" s="111"/>
      <c r="K41" s="126"/>
      <c r="L41" s="132"/>
      <c r="M41" s="133"/>
    </row>
    <row r="42" spans="1:14" ht="15" customHeight="1">
      <c r="A42" s="151"/>
      <c r="B42" s="451" t="s">
        <v>190</v>
      </c>
      <c r="C42" s="452">
        <f>IF(M34&lt;&gt;"", M34, IFERROR((C43*43560), ""))</f>
        <v>1306800</v>
      </c>
      <c r="D42" s="450" t="s">
        <v>20</v>
      </c>
      <c r="E42" s="453" t="str">
        <f>C17&amp;" acres ="</f>
        <v>0.68 acres =</v>
      </c>
      <c r="F42" s="454">
        <f>IFERROR(C17*C42,"")</f>
        <v>888624.00000000012</v>
      </c>
      <c r="G42" s="151"/>
      <c r="J42" s="111"/>
      <c r="K42" s="126"/>
      <c r="L42" s="132"/>
      <c r="M42" s="133"/>
    </row>
    <row r="43" spans="1:14" ht="15" customHeight="1" thickBot="1">
      <c r="A43" s="151"/>
      <c r="B43" s="451" t="s">
        <v>191</v>
      </c>
      <c r="C43" s="455">
        <f>IF(M35&lt;&gt;"", M35, IFERROR(AVERAGE(D39:G39), ""))</f>
        <v>30</v>
      </c>
      <c r="D43" s="450" t="s">
        <v>20</v>
      </c>
      <c r="E43" s="456" t="str">
        <f>C18&amp;" square feet ="</f>
        <v>29620.8 square feet =</v>
      </c>
      <c r="F43" s="454">
        <f>IFERROR(C43*C18,"")</f>
        <v>888624.00000000012</v>
      </c>
      <c r="G43" s="151"/>
      <c r="K43" s="134"/>
      <c r="L43" s="132"/>
      <c r="M43" s="133"/>
      <c r="N43" s="135"/>
    </row>
    <row r="44" spans="1:14" ht="18" customHeight="1" thickTop="1" thickBot="1">
      <c r="A44" s="151"/>
      <c r="B44" s="457"/>
      <c r="C44" s="458"/>
      <c r="D44" s="459"/>
      <c r="E44" s="460" t="s">
        <v>58</v>
      </c>
      <c r="F44" s="461">
        <f>IFERROR(ROUND(F43,-3),"")</f>
        <v>889000</v>
      </c>
      <c r="G44" s="151"/>
      <c r="K44" s="134"/>
      <c r="L44" s="132"/>
      <c r="M44" s="133"/>
      <c r="N44" s="135"/>
    </row>
    <row r="45" spans="1:14" ht="21.6" thickTop="1">
      <c r="A45" s="151"/>
      <c r="B45" s="462" t="str">
        <f>IFERROR(CONCATENATE("ADJUSTED MARKET RANGE IS ",TEXT(ROUND(J53,2),"$#.00")," - ",TEXT(ROUND(K53,2),"$#.00"), "/sf. CORRELATED TO ",TEXT(ROUND(C43,2),"$#.00"),"/sf."),"")</f>
        <v>ADJUSTED MARKET RANGE IS $110.13 - $163.25/sf. CORRELATED TO $30.00/sf.</v>
      </c>
      <c r="C45" s="151"/>
      <c r="D45" s="447"/>
      <c r="E45" s="447"/>
      <c r="F45" s="447"/>
      <c r="G45" s="447"/>
      <c r="K45" s="134"/>
    </row>
    <row r="46" spans="1:14">
      <c r="D46" s="131"/>
      <c r="E46" s="131"/>
      <c r="F46" s="131"/>
      <c r="G46" s="131"/>
      <c r="K46" s="134"/>
    </row>
    <row r="47" spans="1:14">
      <c r="D47" s="131"/>
      <c r="E47" s="131"/>
      <c r="F47" s="131"/>
      <c r="G47" s="131"/>
      <c r="K47" s="134"/>
    </row>
    <row r="48" spans="1:14">
      <c r="D48" s="131"/>
      <c r="E48" s="131"/>
      <c r="F48" s="131"/>
      <c r="G48" s="131"/>
      <c r="K48" s="134"/>
    </row>
    <row r="49" spans="4:11">
      <c r="D49" s="131"/>
      <c r="E49" s="131"/>
      <c r="F49" s="131"/>
      <c r="G49" s="131"/>
      <c r="K49" s="134"/>
    </row>
    <row r="50" spans="4:11">
      <c r="D50" s="131"/>
      <c r="E50" s="131"/>
      <c r="F50" s="131"/>
      <c r="G50" s="131"/>
      <c r="K50" s="63"/>
    </row>
    <row r="51" spans="4:11">
      <c r="J51" s="136"/>
      <c r="K51" s="136"/>
    </row>
    <row r="52" spans="4:11">
      <c r="J52" s="137" t="s">
        <v>57</v>
      </c>
      <c r="K52" s="137" t="s">
        <v>56</v>
      </c>
    </row>
    <row r="53" spans="4:11">
      <c r="J53" s="154">
        <f>MIN(D39:G39)</f>
        <v>110.13200000000002</v>
      </c>
      <c r="K53" s="154">
        <f>MAX(D39:G39)</f>
        <v>163.251</v>
      </c>
    </row>
    <row r="54" spans="4:11">
      <c r="J54" s="138"/>
      <c r="K54" s="138"/>
    </row>
    <row r="55" spans="4:11">
      <c r="K55" s="63"/>
    </row>
    <row r="56" spans="4:11">
      <c r="K56" s="63"/>
    </row>
    <row r="57" spans="4:11">
      <c r="K57" s="63"/>
    </row>
    <row r="58" spans="4:11">
      <c r="K58" s="63"/>
    </row>
    <row r="59" spans="4:11">
      <c r="K59" s="63"/>
    </row>
    <row r="60" spans="4:11">
      <c r="K60" s="63"/>
    </row>
    <row r="61" spans="4:11">
      <c r="K61" s="63"/>
    </row>
    <row r="62" spans="4:11">
      <c r="K62" s="63"/>
    </row>
    <row r="63" spans="4:11">
      <c r="K63" s="63"/>
    </row>
    <row r="64" spans="4:11">
      <c r="K64" s="63"/>
    </row>
    <row r="65" spans="11:11">
      <c r="K65" s="63"/>
    </row>
    <row r="66" spans="11:11">
      <c r="K66" s="63"/>
    </row>
    <row r="67" spans="11:11">
      <c r="K67" s="63"/>
    </row>
    <row r="68" spans="11:11">
      <c r="K68" s="63"/>
    </row>
    <row r="69" spans="11:11">
      <c r="K69" s="63"/>
    </row>
    <row r="70" spans="11:11">
      <c r="K70" s="63"/>
    </row>
    <row r="71" spans="11:11">
      <c r="K71" s="63"/>
    </row>
    <row r="72" spans="11:11">
      <c r="K72" s="63"/>
    </row>
    <row r="73" spans="11:11">
      <c r="K73" s="63"/>
    </row>
    <row r="74" spans="11:11">
      <c r="K74" s="63"/>
    </row>
    <row r="75" spans="11:11">
      <c r="K75" s="63"/>
    </row>
    <row r="76" spans="11:11">
      <c r="K76" s="63"/>
    </row>
  </sheetData>
  <sheetProtection sheet="1" scenarios="1" formatColumns="0" formatRows="0"/>
  <mergeCells count="10">
    <mergeCell ref="B20:G20"/>
    <mergeCell ref="B25:G25"/>
    <mergeCell ref="L33:M33"/>
    <mergeCell ref="A1:G1"/>
    <mergeCell ref="E2:G2"/>
    <mergeCell ref="C7:C8"/>
    <mergeCell ref="D7:D8"/>
    <mergeCell ref="E7:E8"/>
    <mergeCell ref="F7:F8"/>
    <mergeCell ref="G7:G8"/>
  </mergeCells>
  <printOptions horizontalCentered="1" verticalCentered="1"/>
  <pageMargins left="0.15" right="0.15" top="0.15" bottom="0.15" header="0" footer="0"/>
  <pageSetup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31425" r:id="rId4" name="Button 1">
              <controlPr defaultSize="0" print="0" autoFill="0" autoPict="0" macro="[0]!clearlandadj">
                <anchor moveWithCells="1" sizeWithCells="1">
                  <from>
                    <xdr:col>11</xdr:col>
                    <xdr:colOff>0</xdr:colOff>
                    <xdr:row>26</xdr:row>
                    <xdr:rowOff>114300</xdr:rowOff>
                  </from>
                  <to>
                    <xdr:col>12</xdr:col>
                    <xdr:colOff>160020</xdr:colOff>
                    <xdr:row>28</xdr:row>
                    <xdr:rowOff>22860</xdr:rowOff>
                  </to>
                </anchor>
              </controlPr>
            </control>
          </mc:Choice>
        </mc:AlternateContent>
        <mc:AlternateContent xmlns:mc="http://schemas.openxmlformats.org/markup-compatibility/2006">
          <mc:Choice Requires="x14">
            <control shapeId="231426" r:id="rId5" name="Button 2">
              <controlPr defaultSize="0" print="0" autoFill="0" autoPict="0" macro="[0]!CalculateLocationAdjustmentLand">
                <anchor moveWithCells="1" sizeWithCells="1">
                  <from>
                    <xdr:col>7</xdr:col>
                    <xdr:colOff>7620</xdr:colOff>
                    <xdr:row>26</xdr:row>
                    <xdr:rowOff>7620</xdr:rowOff>
                  </from>
                  <to>
                    <xdr:col>9</xdr:col>
                    <xdr:colOff>373380</xdr:colOff>
                    <xdr:row>27</xdr:row>
                    <xdr:rowOff>0</xdr:rowOff>
                  </to>
                </anchor>
              </controlPr>
            </control>
          </mc:Choice>
        </mc:AlternateContent>
        <mc:AlternateContent xmlns:mc="http://schemas.openxmlformats.org/markup-compatibility/2006">
          <mc:Choice Requires="x14">
            <control shapeId="231427" r:id="rId6" name="Button 3">
              <controlPr defaultSize="0" print="0" autoFill="0" autoPict="0" macro="[0]!AcreageAdjustment">
                <anchor moveWithCells="1" sizeWithCells="1">
                  <from>
                    <xdr:col>7</xdr:col>
                    <xdr:colOff>22860</xdr:colOff>
                    <xdr:row>25</xdr:row>
                    <xdr:rowOff>0</xdr:rowOff>
                  </from>
                  <to>
                    <xdr:col>9</xdr:col>
                    <xdr:colOff>365760</xdr:colOff>
                    <xdr:row>26</xdr:row>
                    <xdr:rowOff>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E18427-FE48-4DF9-A1F9-066AC8FA952A}">
  <sheetPr codeName="Sheet28">
    <tabColor theme="9" tint="-0.249977111117893"/>
    <pageSetUpPr fitToPage="1"/>
  </sheetPr>
  <dimension ref="A1:BU59"/>
  <sheetViews>
    <sheetView showZeros="0" showOutlineSymbols="0" topLeftCell="B1" zoomScaleNormal="100" zoomScaleSheetLayoutView="115" workbookViewId="0">
      <selection sqref="A1:G1"/>
    </sheetView>
  </sheetViews>
  <sheetFormatPr defaultColWidth="8.6640625" defaultRowHeight="12" customHeight="1"/>
  <cols>
    <col min="1" max="1" width="0.44140625" style="58" hidden="1" customWidth="1"/>
    <col min="2" max="2" width="32" style="58" customWidth="1"/>
    <col min="3" max="3" width="16.6640625" style="58" customWidth="1"/>
    <col min="4" max="6" width="16.6640625" style="59" customWidth="1"/>
    <col min="7" max="7" width="16.5546875" style="58" hidden="1" customWidth="1"/>
    <col min="8" max="8" width="1.6640625" style="58" customWidth="1"/>
    <col min="9" max="9" width="16.6640625" style="58" customWidth="1"/>
    <col min="10" max="10" width="14.6640625" style="58" customWidth="1"/>
    <col min="11" max="11" width="14.88671875" style="58" customWidth="1"/>
    <col min="12" max="12" width="12.33203125" style="58" customWidth="1"/>
    <col min="13" max="16384" width="8.6640625" style="58"/>
  </cols>
  <sheetData>
    <row r="1" spans="1:73" s="104" customFormat="1" ht="24.75" customHeight="1">
      <c r="A1" s="886" t="s">
        <v>85</v>
      </c>
      <c r="B1" s="886"/>
      <c r="C1" s="886"/>
      <c r="D1" s="886"/>
      <c r="E1" s="886"/>
      <c r="F1" s="886"/>
      <c r="G1" s="886"/>
    </row>
    <row r="2" spans="1:73" s="80" customFormat="1" ht="15" customHeight="1">
      <c r="A2" s="86"/>
      <c r="B2" s="345" t="s">
        <v>12</v>
      </c>
      <c r="C2" s="346">
        <f ca="1">NOW()</f>
        <v>46232.458790277778</v>
      </c>
      <c r="D2" s="347"/>
      <c r="E2" s="348"/>
      <c r="F2" s="348"/>
      <c r="G2" s="349"/>
    </row>
    <row r="3" spans="1:73" s="80" customFormat="1" ht="15" customHeight="1">
      <c r="A3" s="86"/>
      <c r="B3" s="345" t="s">
        <v>84</v>
      </c>
      <c r="C3" s="350">
        <f>INPUT!B5</f>
        <v>46031</v>
      </c>
      <c r="D3" s="348"/>
      <c r="E3" s="348"/>
      <c r="F3" s="348"/>
      <c r="G3" s="349"/>
    </row>
    <row r="4" spans="1:73" s="80" customFormat="1" ht="15" customHeight="1">
      <c r="A4" s="86"/>
      <c r="B4" s="351" t="str">
        <f>IF(INPUT!J2,"Appeal No.:","Transfer Document #:")</f>
        <v>Transfer Document #:</v>
      </c>
      <c r="C4" s="352" t="str">
        <f>IF(INPUT!J2, INPUT!B16, INPUT!B12)</f>
        <v>2026-0006707</v>
      </c>
      <c r="D4" s="347"/>
      <c r="E4" s="353"/>
      <c r="F4" s="347"/>
      <c r="G4" s="347"/>
    </row>
    <row r="5" spans="1:73" s="80" customFormat="1" ht="15" customHeight="1" thickBot="1">
      <c r="A5" s="86"/>
      <c r="B5" s="349" t="s">
        <v>261</v>
      </c>
      <c r="C5" s="354">
        <f>INPUT!B7</f>
        <v>677</v>
      </c>
      <c r="D5" s="347"/>
      <c r="E5" s="353"/>
      <c r="F5" s="347"/>
      <c r="G5" s="347"/>
    </row>
    <row r="6" spans="1:73" s="80" customFormat="1" ht="15" customHeight="1" thickTop="1">
      <c r="A6" s="86"/>
      <c r="B6" s="896" t="s">
        <v>83</v>
      </c>
      <c r="C6" s="898"/>
      <c r="D6" s="898"/>
      <c r="E6" s="898"/>
      <c r="F6" s="898"/>
      <c r="G6" s="898"/>
    </row>
    <row r="7" spans="1:73" s="80" customFormat="1" ht="15" customHeight="1" thickBot="1">
      <c r="A7" s="86"/>
      <c r="B7" s="897"/>
      <c r="C7" s="899"/>
      <c r="D7" s="899"/>
      <c r="E7" s="899"/>
      <c r="F7" s="899"/>
      <c r="G7" s="899"/>
    </row>
    <row r="8" spans="1:73" s="80" customFormat="1" ht="15" customHeight="1" thickTop="1">
      <c r="A8" s="86"/>
      <c r="B8" s="355" t="s">
        <v>82</v>
      </c>
      <c r="C8" s="356" t="s">
        <v>10</v>
      </c>
      <c r="D8" s="356" t="s">
        <v>141</v>
      </c>
      <c r="E8" s="356" t="s">
        <v>142</v>
      </c>
      <c r="F8" s="356" t="s">
        <v>143</v>
      </c>
      <c r="G8" s="356" t="s">
        <v>144</v>
      </c>
      <c r="AZ8" s="103"/>
      <c r="BA8" s="103"/>
      <c r="BB8" s="103"/>
      <c r="BC8" s="103"/>
      <c r="BD8" s="103"/>
      <c r="BE8" s="103"/>
      <c r="BF8" s="103"/>
      <c r="BG8" s="103"/>
      <c r="BH8" s="103"/>
      <c r="BI8" s="103"/>
      <c r="BJ8" s="103"/>
      <c r="BK8" s="103"/>
      <c r="BL8" s="103"/>
      <c r="BM8" s="103"/>
      <c r="BN8" s="103"/>
      <c r="BO8" s="103"/>
      <c r="BP8" s="103"/>
      <c r="BQ8" s="103"/>
      <c r="BR8" s="103"/>
      <c r="BS8" s="103"/>
      <c r="BT8" s="103"/>
      <c r="BU8" s="103"/>
    </row>
    <row r="9" spans="1:73" s="80" customFormat="1" ht="15.6">
      <c r="A9" s="86"/>
      <c r="B9" s="92" t="s">
        <v>81</v>
      </c>
      <c r="C9" s="357">
        <f>INPUT!B30</f>
        <v>107350009</v>
      </c>
      <c r="D9" s="358">
        <f>IFERROR(VLOOKUP(1, 'Arranged Comps'!A:U,2,FALSE),"")</f>
        <v>101370038</v>
      </c>
      <c r="E9" s="358">
        <f>IFERROR(VLOOKUP(2, 'Arranged Comps'!A:U,2,FALSE),"")</f>
        <v>115200043</v>
      </c>
      <c r="F9" s="358">
        <f>IFERROR(VLOOKUP(3, 'Arranged Comps'!A:U,2,FALSE),"")</f>
        <v>107350010</v>
      </c>
      <c r="G9" s="358">
        <f>IFERROR(VLOOKUP(4, 'Arranged Comps'!A:U,2,FALSE),"")</f>
        <v>211060012</v>
      </c>
      <c r="J9" s="90"/>
      <c r="N9" s="80" t="s">
        <v>11</v>
      </c>
    </row>
    <row r="10" spans="1:73" s="80" customFormat="1" ht="31.2">
      <c r="A10" s="86"/>
      <c r="B10" s="158" t="s">
        <v>24</v>
      </c>
      <c r="C10" s="359" t="str">
        <f>UPPER(INPUT!B31)</f>
        <v>1215 GRAPHITE DR</v>
      </c>
      <c r="D10" s="359" t="str">
        <f>IFERROR(VLOOKUP(1, 'Arranged Comps'!A:U,14,FALSE),"")</f>
        <v>255 GLIDER CIR</v>
      </c>
      <c r="E10" s="359" t="str">
        <f>IFERROR(VLOOKUP(2, 'Arranged Comps'!A:U,14,FALSE),"")</f>
        <v>127 RADIO RD</v>
      </c>
      <c r="F10" s="359" t="str">
        <f>IFERROR(VLOOKUP(3, 'Arranged Comps'!A:U,14,FALSE),"")</f>
        <v>1220 GRAPHITE DR</v>
      </c>
      <c r="G10" s="359" t="str">
        <f>IFERROR(VLOOKUP(4, 'Arranged Comps'!A:U,14,FALSE),"")</f>
        <v>3403 DURAHART ST</v>
      </c>
      <c r="J10" s="90"/>
      <c r="K10" s="102"/>
      <c r="L10" s="101"/>
    </row>
    <row r="11" spans="1:73" s="80" customFormat="1" ht="15" customHeight="1">
      <c r="A11" s="86"/>
      <c r="B11" s="92" t="s">
        <v>13</v>
      </c>
      <c r="C11" s="360" t="str">
        <f>UPPER(INPUT!B32)</f>
        <v>CORONA</v>
      </c>
      <c r="D11" s="360" t="str">
        <f>IFERROR(VLOOKUP(1, 'Arranged Comps'!A:U,15,FALSE),"")</f>
        <v>CORONA</v>
      </c>
      <c r="E11" s="360" t="str">
        <f>IFERROR(VLOOKUP(2, 'Arranged Comps'!A:U,15,FALSE),"")</f>
        <v>CORONA</v>
      </c>
      <c r="F11" s="360" t="str">
        <f>IFERROR(VLOOKUP(3, 'Arranged Comps'!A:U,15,FALSE),"")</f>
        <v>CORONA</v>
      </c>
      <c r="G11" s="360" t="str">
        <f>IFERROR(VLOOKUP(4, 'Arranged Comps'!A:U,15,FALSE),"")</f>
        <v>RIVERSIDE</v>
      </c>
      <c r="J11" s="90"/>
    </row>
    <row r="12" spans="1:73" s="80" customFormat="1" ht="15" customHeight="1">
      <c r="A12" s="86"/>
      <c r="B12" s="158" t="s">
        <v>68</v>
      </c>
      <c r="C12" s="660">
        <f>INPUT!B37</f>
        <v>25</v>
      </c>
      <c r="D12" s="660">
        <f ca="1">IFERROR(VLOOKUP(1, 'Arranged Comps'!A:U,9,FALSE),"")+('Program Data'!K3-'Program Data'!K2)</f>
        <v>26</v>
      </c>
      <c r="E12" s="660">
        <f ca="1">IFERROR(VLOOKUP(2, 'Arranged Comps'!A:U,9,FALSE),"")+('Program Data'!K3-'Program Data'!K2)</f>
        <v>21</v>
      </c>
      <c r="F12" s="660">
        <f ca="1">IFERROR(VLOOKUP(3, 'Arranged Comps'!A:U,9,FALSE),"")+('Program Data'!K3-'Program Data'!K2)</f>
        <v>25</v>
      </c>
      <c r="G12" s="661">
        <f ca="1">IFERROR(VLOOKUP(4, 'Arranged Comps'!A:U,9,FALSE),"")+('Program Data'!K3-'Program Data'!K2)</f>
        <v>45</v>
      </c>
      <c r="J12" s="90"/>
    </row>
    <row r="13" spans="1:73" s="80" customFormat="1" ht="15" customHeight="1">
      <c r="A13" s="86"/>
      <c r="B13" s="92" t="s">
        <v>67</v>
      </c>
      <c r="C13" s="361" t="str">
        <f>INPUT!B40</f>
        <v>C2.5</v>
      </c>
      <c r="D13" s="361" t="s">
        <v>147</v>
      </c>
      <c r="E13" s="361" t="s">
        <v>151</v>
      </c>
      <c r="F13" s="361" t="s">
        <v>150</v>
      </c>
      <c r="G13" s="361" t="s">
        <v>137</v>
      </c>
      <c r="J13" s="90"/>
    </row>
    <row r="14" spans="1:73" s="80" customFormat="1" ht="15" customHeight="1">
      <c r="A14" s="86"/>
      <c r="B14" s="158" t="s">
        <v>15</v>
      </c>
      <c r="C14" s="362" t="str">
        <f>INPUT!B41</f>
        <v>Average</v>
      </c>
      <c r="D14" s="363" t="s">
        <v>16</v>
      </c>
      <c r="E14" s="363" t="s">
        <v>16</v>
      </c>
      <c r="F14" s="363" t="s">
        <v>16</v>
      </c>
      <c r="G14" s="363" t="s">
        <v>16</v>
      </c>
      <c r="J14" s="90"/>
    </row>
    <row r="15" spans="1:73" s="80" customFormat="1" ht="15" customHeight="1">
      <c r="A15" s="86"/>
      <c r="B15" s="92" t="s">
        <v>80</v>
      </c>
      <c r="C15" s="364"/>
      <c r="D15" s="364">
        <f>IFERROR(VLOOKUP(1, 'Arranged Comps'!A:U,3,FALSE),"")</f>
        <v>46114</v>
      </c>
      <c r="E15" s="364">
        <f>IFERROR(VLOOKUP(2, 'Arranged Comps'!A:U,3,FALSE),"")</f>
        <v>46021</v>
      </c>
      <c r="F15" s="364">
        <f ca="1">IFERROR(VLOOKUP(3, 'Arranged Comps'!A:U,3,FALSE),"")+('Program Data'!K3-'Program Data'!K2)</f>
        <v>45817</v>
      </c>
      <c r="G15" s="364">
        <f>IFERROR(VLOOKUP(4, 'Arranged Comps'!A:U,3,FALSE),"")</f>
        <v>46027</v>
      </c>
      <c r="J15" s="90"/>
    </row>
    <row r="16" spans="1:73" s="80" customFormat="1" ht="15" customHeight="1">
      <c r="A16" s="86"/>
      <c r="B16" s="158" t="s">
        <v>79</v>
      </c>
      <c r="C16" s="365"/>
      <c r="D16" s="365">
        <f>IFERROR(VLOOKUP(1, 'Arranged Comps'!A:U,5,FALSE),"")</f>
        <v>5300000</v>
      </c>
      <c r="E16" s="365">
        <f>IFERROR(VLOOKUP(2, 'Arranged Comps'!A:U,5,FALSE),"")</f>
        <v>2675000</v>
      </c>
      <c r="F16" s="365">
        <f>IFERROR(VLOOKUP(3, 'Arranged Comps'!A:U,5,FALSE),"")</f>
        <v>6400000</v>
      </c>
      <c r="G16" s="365">
        <f>IFERROR(VLOOKUP(4, 'Arranged Comps'!A:U,5,FALSE),"")</f>
        <v>1570000</v>
      </c>
      <c r="J16" s="90"/>
      <c r="AX16" s="93"/>
      <c r="AY16" s="93"/>
      <c r="AZ16" s="93"/>
      <c r="BA16" s="93"/>
      <c r="BB16" s="93"/>
      <c r="BC16" s="93"/>
      <c r="BD16" s="93"/>
      <c r="BE16" s="93"/>
      <c r="BF16" s="93"/>
      <c r="BG16" s="93"/>
      <c r="BH16" s="93"/>
      <c r="BI16" s="93"/>
      <c r="BJ16" s="93"/>
      <c r="BK16" s="93"/>
    </row>
    <row r="17" spans="1:65" s="80" customFormat="1" ht="15" customHeight="1">
      <c r="A17" s="86"/>
      <c r="B17" s="92" t="s">
        <v>78</v>
      </c>
      <c r="C17" s="366" t="str">
        <f>IF(C9="","  ","ADJ.")</f>
        <v>ADJ.</v>
      </c>
      <c r="D17" s="366" t="str">
        <f>IF(D9="","  ","ADJ.")</f>
        <v>ADJ.</v>
      </c>
      <c r="E17" s="366" t="str">
        <f>IF(E9="","  ","ADJ.")</f>
        <v>ADJ.</v>
      </c>
      <c r="F17" s="366" t="str">
        <f>IF(F9="","  ","ADJ.")</f>
        <v>ADJ.</v>
      </c>
      <c r="G17" s="366" t="str">
        <f>IF(G9="","  ","ADJ.")</f>
        <v>ADJ.</v>
      </c>
      <c r="J17" s="90"/>
      <c r="AX17" s="93"/>
      <c r="AY17" s="93"/>
      <c r="AZ17" s="93"/>
      <c r="BA17" s="93"/>
      <c r="BB17" s="93"/>
      <c r="BC17" s="93"/>
      <c r="BD17" s="93"/>
      <c r="BE17" s="93"/>
      <c r="BF17" s="93"/>
      <c r="BG17" s="93"/>
      <c r="BH17" s="93"/>
      <c r="BI17" s="93"/>
      <c r="BJ17" s="93"/>
      <c r="BK17" s="93"/>
    </row>
    <row r="18" spans="1:65" s="80" customFormat="1" ht="15" customHeight="1">
      <c r="A18" s="86"/>
      <c r="B18" s="158" t="s">
        <v>140</v>
      </c>
      <c r="C18" s="367">
        <f>INPUT!B38</f>
        <v>0.68</v>
      </c>
      <c r="D18" s="367">
        <f>IFERROR(VLOOKUP(1, 'Arranged Comps'!A:U,16,FALSE),"")</f>
        <v>0.96</v>
      </c>
      <c r="E18" s="367">
        <f>IFERROR(VLOOKUP(2, 'Arranged Comps'!A:U,16,FALSE),"")</f>
        <v>0.51</v>
      </c>
      <c r="F18" s="367">
        <f>IFERROR(VLOOKUP(3, 'Arranged Comps'!A:U,16,FALSE),"")</f>
        <v>0.99</v>
      </c>
      <c r="G18" s="368">
        <f>IFERROR(VLOOKUP(4, 'Arranged Comps'!A:U,16,FALSE),"")</f>
        <v>0.36</v>
      </c>
      <c r="J18" s="90"/>
      <c r="AX18" s="93"/>
      <c r="AY18" s="93"/>
      <c r="AZ18" s="93"/>
      <c r="BA18" s="93"/>
      <c r="BB18" s="93"/>
      <c r="BC18" s="93"/>
      <c r="BD18" s="93"/>
      <c r="BE18" s="93"/>
      <c r="BF18" s="93"/>
      <c r="BG18" s="93"/>
      <c r="BH18" s="93"/>
      <c r="BI18" s="93"/>
      <c r="BJ18" s="93"/>
      <c r="BK18" s="93"/>
    </row>
    <row r="19" spans="1:65" s="80" customFormat="1" ht="15" customHeight="1">
      <c r="A19" s="86"/>
      <c r="B19" s="92" t="s">
        <v>77</v>
      </c>
      <c r="C19" s="369">
        <f>INPUT!B35</f>
        <v>10490</v>
      </c>
      <c r="D19" s="369">
        <f>IFERROR(VLOOKUP(1, 'Arranged Comps'!A:U,6,FALSE),"")</f>
        <v>17767</v>
      </c>
      <c r="E19" s="369">
        <f>IFERROR(VLOOKUP(2, 'Arranged Comps'!A:U,6,FALSE),"")</f>
        <v>6936</v>
      </c>
      <c r="F19" s="369">
        <f>IFERROR(VLOOKUP(3, 'Arranged Comps'!A:U,6,FALSE),"")</f>
        <v>16504</v>
      </c>
      <c r="G19" s="369">
        <f>IFERROR(VLOOKUP(4, 'Arranged Comps'!A:U,6,FALSE),"")</f>
        <v>5840</v>
      </c>
      <c r="J19" s="90"/>
      <c r="AX19" s="93"/>
      <c r="AY19" s="93"/>
      <c r="AZ19" s="93"/>
      <c r="BA19" s="93"/>
      <c r="BB19" s="93"/>
      <c r="BC19" s="93"/>
      <c r="BD19" s="93"/>
      <c r="BE19" s="93"/>
      <c r="BF19" s="93"/>
      <c r="BG19" s="93"/>
      <c r="BH19" s="93"/>
      <c r="BI19" s="93"/>
      <c r="BJ19" s="93"/>
      <c r="BK19" s="93"/>
    </row>
    <row r="20" spans="1:65" s="80" customFormat="1" ht="15" customHeight="1">
      <c r="A20" s="86"/>
      <c r="B20" s="158" t="s">
        <v>64</v>
      </c>
      <c r="C20" s="370">
        <f>IFERROR((C18*43560)/C19,"")</f>
        <v>2.8237178265014302</v>
      </c>
      <c r="D20" s="370">
        <f>IFERROR((D18*43560)/D19,"")</f>
        <v>2.3536669105645296</v>
      </c>
      <c r="E20" s="370">
        <f>IFERROR((E18*43560)/E19,"")</f>
        <v>3.2029411764705884</v>
      </c>
      <c r="F20" s="370">
        <f>IFERROR((F18*43560)/F19,"")</f>
        <v>2.6129665535627726</v>
      </c>
      <c r="G20" s="370">
        <f>IFERROR((G18*43560)/G19,"")</f>
        <v>2.6852054794520543</v>
      </c>
      <c r="J20" s="90"/>
      <c r="AX20" s="93"/>
      <c r="AY20" s="93"/>
      <c r="AZ20" s="93"/>
      <c r="BA20" s="93"/>
      <c r="BB20" s="93"/>
      <c r="BC20" s="93"/>
      <c r="BD20" s="93"/>
      <c r="BE20" s="93"/>
      <c r="BF20" s="93"/>
      <c r="BG20" s="93"/>
      <c r="BH20" s="93"/>
      <c r="BI20" s="93"/>
      <c r="BJ20" s="93"/>
      <c r="BK20" s="93"/>
    </row>
    <row r="21" spans="1:65" s="94" customFormat="1" ht="18" customHeight="1">
      <c r="A21" s="371"/>
      <c r="B21" s="372"/>
      <c r="C21" s="890" t="s">
        <v>76</v>
      </c>
      <c r="D21" s="891"/>
      <c r="E21" s="891"/>
      <c r="F21" s="891"/>
      <c r="G21" s="892"/>
      <c r="H21" s="100"/>
      <c r="J21" s="98"/>
      <c r="AX21" s="95"/>
      <c r="AY21" s="95"/>
      <c r="AZ21" s="95"/>
      <c r="BA21" s="95"/>
      <c r="BB21" s="95"/>
      <c r="BC21" s="95"/>
      <c r="BD21" s="95"/>
      <c r="BE21" s="95"/>
      <c r="BF21" s="95"/>
      <c r="BG21" s="95"/>
      <c r="BH21" s="95"/>
      <c r="BI21" s="95"/>
      <c r="BJ21" s="95"/>
      <c r="BK21" s="95"/>
    </row>
    <row r="22" spans="1:65" s="80" customFormat="1" ht="15" customHeight="1">
      <c r="A22" s="86"/>
      <c r="B22" s="373" t="s">
        <v>75</v>
      </c>
      <c r="C22" s="370">
        <f>IFERROR(IF(AND(ISNUMBER(C16)=TRUE, ISNUMBER(C19)=TRUE),C16/C19,0),"")</f>
        <v>0</v>
      </c>
      <c r="D22" s="370">
        <f>IFERROR(IF(D19&gt;0,D16/D19,0)," ")</f>
        <v>298.30584792030169</v>
      </c>
      <c r="E22" s="370">
        <f>IFERROR(IF(E19&gt;0,E16/E19,0)," ")</f>
        <v>385.66897347174165</v>
      </c>
      <c r="F22" s="370">
        <f>IFERROR(IF(F19&gt;0,F16/F19,0)," ")</f>
        <v>387.78477944740666</v>
      </c>
      <c r="G22" s="370">
        <f>IFERROR(IF(G19&gt;0,G16/G19,0)," ")</f>
        <v>268.83561643835617</v>
      </c>
      <c r="J22" s="90"/>
      <c r="AX22" s="93"/>
      <c r="AY22" s="93"/>
      <c r="AZ22" s="93"/>
      <c r="BA22" s="93"/>
      <c r="BB22" s="93"/>
      <c r="BC22" s="93"/>
      <c r="BD22" s="93"/>
      <c r="BE22" s="93"/>
      <c r="BF22" s="93"/>
      <c r="BG22" s="93"/>
      <c r="BH22" s="93"/>
      <c r="BI22" s="93"/>
      <c r="BJ22" s="93"/>
      <c r="BK22" s="93"/>
    </row>
    <row r="23" spans="1:65" s="80" customFormat="1" ht="15" customHeight="1">
      <c r="A23" s="86"/>
      <c r="B23" s="374" t="s">
        <v>74</v>
      </c>
      <c r="C23" s="375"/>
      <c r="D23" s="512"/>
      <c r="E23" s="512"/>
      <c r="F23" s="512"/>
      <c r="G23" s="512"/>
      <c r="H23" s="90"/>
      <c r="J23" s="90"/>
      <c r="AX23" s="93"/>
      <c r="AY23" s="93"/>
      <c r="AZ23" s="93"/>
      <c r="BA23" s="93"/>
      <c r="BB23" s="93"/>
      <c r="BC23" s="93"/>
      <c r="BD23" s="93"/>
      <c r="BE23" s="93"/>
      <c r="BF23" s="93"/>
      <c r="BG23" s="93"/>
      <c r="BH23" s="93"/>
      <c r="BI23" s="93"/>
      <c r="BJ23" s="93"/>
      <c r="BK23" s="93"/>
    </row>
    <row r="24" spans="1:65" s="80" customFormat="1" ht="15" customHeight="1">
      <c r="A24" s="86"/>
      <c r="B24" s="373" t="s">
        <v>73</v>
      </c>
      <c r="C24" s="375"/>
      <c r="D24" s="513"/>
      <c r="E24" s="513"/>
      <c r="F24" s="513"/>
      <c r="G24" s="513"/>
      <c r="H24" s="90"/>
      <c r="J24" s="90"/>
      <c r="AX24" s="93"/>
      <c r="AY24" s="93"/>
      <c r="AZ24" s="93"/>
      <c r="BA24" s="93"/>
      <c r="BB24" s="93"/>
      <c r="BC24" s="93"/>
      <c r="BD24" s="93"/>
      <c r="BE24" s="93"/>
      <c r="BF24" s="93"/>
      <c r="BG24" s="93"/>
      <c r="BH24" s="93"/>
      <c r="BI24" s="93"/>
      <c r="BJ24" s="93"/>
      <c r="BK24" s="93"/>
    </row>
    <row r="25" spans="1:65" s="80" customFormat="1" ht="15" customHeight="1">
      <c r="A25" s="86"/>
      <c r="B25" s="374" t="s">
        <v>72</v>
      </c>
      <c r="C25" s="375"/>
      <c r="D25" s="376">
        <f>IFERROR(ROUND(D22+(D22*D23)+(D22+(D22*D23))*D24,2)," ")</f>
        <v>298.31</v>
      </c>
      <c r="E25" s="376">
        <f>IFERROR(ROUND(E22+(E22*E23)+(E22+(E22*E23))*E24,2)," ")</f>
        <v>385.67</v>
      </c>
      <c r="F25" s="376">
        <f>IFERROR(ROUND(F22+(F22*F23)+(F22+(F22*F23))*F24,2)," ")</f>
        <v>387.78</v>
      </c>
      <c r="G25" s="376">
        <f>IFERROR(ROUND(G22+(G22*G23)+(G22+(G22*G23))*G24,2)," ")</f>
        <v>268.83999999999997</v>
      </c>
      <c r="H25" s="90"/>
      <c r="J25" s="90"/>
      <c r="AX25" s="93"/>
      <c r="AY25" s="93"/>
      <c r="AZ25" s="93"/>
      <c r="BA25" s="93"/>
      <c r="BB25" s="93"/>
      <c r="BC25" s="93"/>
      <c r="BD25" s="93"/>
      <c r="BE25" s="93"/>
      <c r="BF25" s="93"/>
      <c r="BG25" s="93"/>
      <c r="BH25" s="93"/>
      <c r="BI25" s="93"/>
      <c r="BJ25" s="93"/>
      <c r="BK25" s="93"/>
    </row>
    <row r="26" spans="1:65" s="94" customFormat="1" ht="18" customHeight="1">
      <c r="A26" s="371"/>
      <c r="B26" s="372"/>
      <c r="C26" s="893" t="s">
        <v>71</v>
      </c>
      <c r="D26" s="894"/>
      <c r="E26" s="894"/>
      <c r="F26" s="894"/>
      <c r="G26" s="895"/>
      <c r="H26" s="99"/>
      <c r="J26" s="98"/>
      <c r="K26" s="97"/>
      <c r="L26" s="96"/>
      <c r="AZ26" s="95"/>
      <c r="BA26" s="95"/>
      <c r="BB26" s="95"/>
      <c r="BC26" s="95"/>
      <c r="BD26" s="95"/>
      <c r="BE26" s="95"/>
      <c r="BF26" s="95"/>
      <c r="BG26" s="95"/>
      <c r="BH26" s="95"/>
      <c r="BI26" s="95"/>
      <c r="BJ26" s="95"/>
      <c r="BK26" s="95"/>
      <c r="BL26" s="95"/>
      <c r="BM26" s="95"/>
    </row>
    <row r="27" spans="1:65" s="80" customFormat="1" ht="15" customHeight="1">
      <c r="A27" s="86"/>
      <c r="B27" s="158" t="s">
        <v>70</v>
      </c>
      <c r="C27" s="164"/>
      <c r="D27" s="160"/>
      <c r="E27" s="160"/>
      <c r="F27" s="160"/>
      <c r="G27" s="160"/>
      <c r="J27" s="90"/>
      <c r="K27" s="82"/>
      <c r="L27" s="81"/>
      <c r="AZ27" s="93"/>
      <c r="BA27" s="93"/>
      <c r="BB27" s="93"/>
      <c r="BC27" s="93"/>
      <c r="BD27" s="93"/>
      <c r="BE27" s="93"/>
      <c r="BF27" s="93"/>
      <c r="BG27" s="93"/>
      <c r="BH27" s="93"/>
      <c r="BI27" s="93"/>
      <c r="BJ27" s="93"/>
      <c r="BK27" s="93"/>
      <c r="BL27" s="93"/>
      <c r="BM27" s="93"/>
    </row>
    <row r="28" spans="1:65" s="80" customFormat="1" ht="15" customHeight="1">
      <c r="A28" s="86"/>
      <c r="B28" s="92" t="s">
        <v>24</v>
      </c>
      <c r="C28" s="164"/>
      <c r="D28" s="88"/>
      <c r="E28" s="88"/>
      <c r="F28" s="88"/>
      <c r="G28" s="88"/>
      <c r="J28" s="90"/>
      <c r="K28" s="82"/>
      <c r="L28" s="81"/>
      <c r="AZ28" s="93"/>
      <c r="BA28" s="93"/>
      <c r="BB28" s="93"/>
      <c r="BC28" s="93"/>
      <c r="BD28" s="93"/>
      <c r="BE28" s="93"/>
      <c r="BF28" s="93"/>
      <c r="BG28" s="93"/>
      <c r="BH28" s="93"/>
      <c r="BI28" s="93"/>
      <c r="BJ28" s="93"/>
      <c r="BK28" s="93"/>
      <c r="BL28" s="93"/>
      <c r="BM28" s="93"/>
    </row>
    <row r="29" spans="1:65" s="80" customFormat="1" ht="15" customHeight="1">
      <c r="A29" s="86"/>
      <c r="B29" s="158" t="s">
        <v>69</v>
      </c>
      <c r="C29" s="165"/>
      <c r="D29" s="160"/>
      <c r="E29" s="160"/>
      <c r="F29" s="160"/>
      <c r="G29" s="160"/>
      <c r="J29" s="90"/>
      <c r="K29" s="82"/>
      <c r="L29" s="81"/>
    </row>
    <row r="30" spans="1:65" s="80" customFormat="1" ht="15" customHeight="1">
      <c r="A30" s="86"/>
      <c r="B30" s="92" t="s">
        <v>68</v>
      </c>
      <c r="C30" s="165"/>
      <c r="D30" s="88"/>
      <c r="E30" s="88"/>
      <c r="F30" s="88"/>
      <c r="G30" s="88"/>
      <c r="J30" s="90"/>
      <c r="K30" s="82"/>
      <c r="L30" s="81"/>
    </row>
    <row r="31" spans="1:65" s="80" customFormat="1" ht="15" customHeight="1">
      <c r="A31" s="86"/>
      <c r="B31" s="161" t="s">
        <v>67</v>
      </c>
      <c r="C31" s="166"/>
      <c r="D31" s="160"/>
      <c r="E31" s="160"/>
      <c r="F31" s="160"/>
      <c r="G31" s="160"/>
      <c r="J31" s="90"/>
      <c r="K31" s="82"/>
      <c r="L31" s="81"/>
    </row>
    <row r="32" spans="1:65" s="80" customFormat="1" ht="15" customHeight="1">
      <c r="A32" s="86"/>
      <c r="B32" s="92" t="s">
        <v>15</v>
      </c>
      <c r="C32" s="165"/>
      <c r="D32" s="88"/>
      <c r="E32" s="88"/>
      <c r="F32" s="88"/>
      <c r="G32" s="88"/>
      <c r="J32" s="90"/>
      <c r="K32" s="82"/>
      <c r="L32" s="81"/>
    </row>
    <row r="33" spans="1:14" s="80" customFormat="1" ht="15" customHeight="1">
      <c r="A33" s="86"/>
      <c r="B33" s="159" t="s">
        <v>66</v>
      </c>
      <c r="C33" s="167"/>
      <c r="D33" s="160"/>
      <c r="E33" s="160"/>
      <c r="F33" s="160"/>
      <c r="G33" s="160"/>
      <c r="J33" s="90"/>
      <c r="K33" s="82"/>
      <c r="L33" s="81"/>
    </row>
    <row r="34" spans="1:14" s="80" customFormat="1" ht="15" customHeight="1">
      <c r="A34" s="86"/>
      <c r="B34" s="91" t="s">
        <v>65</v>
      </c>
      <c r="C34" s="167"/>
      <c r="D34" s="88"/>
      <c r="E34" s="88"/>
      <c r="F34" s="88"/>
      <c r="G34" s="88"/>
      <c r="J34" s="90"/>
      <c r="K34" s="82"/>
      <c r="L34" s="81"/>
    </row>
    <row r="35" spans="1:14" s="80" customFormat="1" ht="15" customHeight="1">
      <c r="A35" s="226" t="s">
        <v>11</v>
      </c>
      <c r="B35" s="159" t="s">
        <v>64</v>
      </c>
      <c r="C35" s="227"/>
      <c r="D35" s="160"/>
      <c r="E35" s="160"/>
      <c r="F35" s="160"/>
      <c r="G35" s="160"/>
      <c r="H35" s="228"/>
      <c r="J35" s="90"/>
      <c r="K35" s="82"/>
      <c r="L35" s="81"/>
      <c r="M35" s="228"/>
      <c r="N35" s="228"/>
    </row>
    <row r="36" spans="1:14" s="80" customFormat="1" ht="15" customHeight="1">
      <c r="A36" s="226"/>
      <c r="B36" s="89" t="s">
        <v>63</v>
      </c>
      <c r="C36" s="227"/>
      <c r="D36" s="88"/>
      <c r="E36" s="88"/>
      <c r="F36" s="88"/>
      <c r="G36" s="88"/>
      <c r="H36" s="228"/>
      <c r="I36" s="228"/>
      <c r="J36" s="228"/>
      <c r="K36" s="229"/>
      <c r="L36" s="230"/>
      <c r="M36" s="228"/>
      <c r="N36" s="228"/>
    </row>
    <row r="37" spans="1:14" s="80" customFormat="1" ht="15" customHeight="1" thickBot="1">
      <c r="A37" s="86"/>
      <c r="B37" s="163" t="s">
        <v>62</v>
      </c>
      <c r="C37" s="87" t="s">
        <v>11</v>
      </c>
      <c r="D37" s="162" t="str">
        <f>IF(SUM(D27:D36)=0, "0%", SUM(D27:D36))</f>
        <v>0%</v>
      </c>
      <c r="E37" s="162" t="str">
        <f>IF(SUM(E27:E36)=0, "0%", SUM(E27:E36))</f>
        <v>0%</v>
      </c>
      <c r="F37" s="162" t="str">
        <f>IF(SUM(F27:F36)=0, "0%", SUM(F27:F36))</f>
        <v>0%</v>
      </c>
      <c r="G37" s="162" t="str">
        <f>IF(SUM(G27:G36)=0, "0%", SUM(G27:G36))</f>
        <v>0%</v>
      </c>
      <c r="K37" s="82"/>
      <c r="L37" s="81"/>
    </row>
    <row r="38" spans="1:14" s="80" customFormat="1" ht="15" customHeight="1" thickTop="1" thickBot="1">
      <c r="A38" s="86"/>
      <c r="B38" s="85" t="s">
        <v>61</v>
      </c>
      <c r="C38" s="84">
        <f>+C22</f>
        <v>0</v>
      </c>
      <c r="D38" s="83">
        <f>IFERROR(IF(D25&gt;0,D25*(1+D37),0)," ")</f>
        <v>298.31</v>
      </c>
      <c r="E38" s="83">
        <f>IFERROR(IF(E25&gt;0,E25*(1+E37),0)," ")</f>
        <v>385.67</v>
      </c>
      <c r="F38" s="83">
        <f>IFERROR(IF(F25&gt;0,F25*(1+F37),0)," ")</f>
        <v>387.78</v>
      </c>
      <c r="G38" s="83">
        <f>IFERROR(IF(G25&gt;0,G25*(1+G37),0)," ")</f>
        <v>268.83999999999997</v>
      </c>
      <c r="K38" s="82"/>
      <c r="L38" s="81"/>
    </row>
    <row r="39" spans="1:14" ht="12" customHeight="1" thickTop="1">
      <c r="A39" s="66"/>
      <c r="B39" s="79"/>
      <c r="C39" s="78"/>
      <c r="D39" s="77"/>
      <c r="E39" s="77"/>
      <c r="F39" s="77"/>
      <c r="G39" s="76"/>
      <c r="K39" s="70"/>
      <c r="L39" s="69"/>
    </row>
    <row r="40" spans="1:14" ht="16.2" thickBot="1">
      <c r="A40" s="66"/>
      <c r="B40" s="75" t="s">
        <v>154</v>
      </c>
      <c r="C40" s="74"/>
      <c r="D40" s="73"/>
      <c r="E40" s="73"/>
      <c r="F40" s="72" t="s">
        <v>60</v>
      </c>
      <c r="K40" s="70"/>
      <c r="L40" s="69"/>
    </row>
    <row r="41" spans="1:14" ht="18.75" customHeight="1" thickTop="1" thickBot="1">
      <c r="A41" s="66"/>
      <c r="B41" s="71">
        <v>535</v>
      </c>
      <c r="C41" s="377" t="s">
        <v>20</v>
      </c>
      <c r="D41" s="378">
        <f>+C19</f>
        <v>10490</v>
      </c>
      <c r="E41" s="379" t="s">
        <v>59</v>
      </c>
      <c r="F41" s="380">
        <f>IFERROR(SUM(B41*D41),"")</f>
        <v>5612150</v>
      </c>
      <c r="K41" s="70"/>
      <c r="L41" s="69"/>
    </row>
    <row r="42" spans="1:14" ht="6.75" customHeight="1" thickTop="1" thickBot="1">
      <c r="A42" s="66"/>
      <c r="B42" s="68"/>
      <c r="C42" s="377"/>
      <c r="D42" s="381"/>
      <c r="E42" s="382"/>
      <c r="F42" s="383"/>
      <c r="I42" s="60"/>
      <c r="J42" s="60"/>
      <c r="K42" s="65"/>
      <c r="L42" s="64"/>
    </row>
    <row r="43" spans="1:14" ht="19.2" thickTop="1" thickBot="1">
      <c r="A43" s="66"/>
      <c r="B43" s="67"/>
      <c r="C43" s="377"/>
      <c r="D43" s="384"/>
      <c r="E43" s="385" t="s">
        <v>58</v>
      </c>
      <c r="F43" s="380">
        <f>ROUND(SUM(F41:F41),-3)</f>
        <v>5612000</v>
      </c>
      <c r="I43" s="60"/>
      <c r="J43" s="60"/>
      <c r="K43" s="65"/>
      <c r="L43" s="64"/>
    </row>
    <row r="44" spans="1:14" ht="45.75" customHeight="1" thickTop="1">
      <c r="A44" s="66"/>
      <c r="B44" s="888" t="str">
        <f>IFERROR(CONCATENATE("REMARKS: ADJUSTED MARKET RANGE IS ",TEXT(ROUND(J48,2),"$#.00")," - ",TEXT(ROUND(K48,2),"$#.00"), "/sf. CORRELATED TO ",TEXT(ROUND(B41,2),"$#.00"),"/sf."),"")</f>
        <v>REMARKS: ADJUSTED MARKET RANGE IS $268.84 - $387.78/sf. CORRELATED TO $535.00/sf.</v>
      </c>
      <c r="C44" s="888"/>
      <c r="D44" s="888"/>
      <c r="E44" s="888"/>
      <c r="F44" s="888"/>
      <c r="G44" s="888"/>
      <c r="I44" s="60"/>
      <c r="J44" s="60"/>
      <c r="K44" s="65"/>
      <c r="L44" s="64"/>
    </row>
    <row r="45" spans="1:14" ht="12.75" customHeight="1">
      <c r="A45" s="63"/>
      <c r="B45" s="887"/>
      <c r="C45" s="887"/>
      <c r="D45" s="887"/>
      <c r="E45" s="887"/>
      <c r="F45" s="887"/>
      <c r="G45" s="887"/>
      <c r="I45" s="60"/>
      <c r="J45" s="60"/>
      <c r="K45" s="60"/>
      <c r="L45" s="60"/>
    </row>
    <row r="46" spans="1:14" ht="12.75" customHeight="1">
      <c r="A46" s="63"/>
      <c r="B46" s="889"/>
      <c r="C46" s="889"/>
      <c r="D46" s="889"/>
      <c r="E46" s="889"/>
      <c r="F46" s="889"/>
      <c r="G46" s="889"/>
      <c r="I46" s="60"/>
      <c r="J46" s="60"/>
      <c r="K46" s="60"/>
      <c r="L46" s="60"/>
    </row>
    <row r="47" spans="1:14" ht="12.75" customHeight="1">
      <c r="A47" s="63"/>
      <c r="B47" s="887"/>
      <c r="C47" s="887"/>
      <c r="D47" s="887"/>
      <c r="E47" s="887"/>
      <c r="F47" s="887"/>
      <c r="G47" s="887"/>
      <c r="I47" s="60"/>
      <c r="J47" s="62" t="s">
        <v>57</v>
      </c>
      <c r="K47" s="62" t="s">
        <v>56</v>
      </c>
      <c r="L47" s="62" t="s">
        <v>55</v>
      </c>
    </row>
    <row r="48" spans="1:14" ht="12" customHeight="1">
      <c r="G48" s="59"/>
      <c r="I48" s="60"/>
      <c r="J48" s="61">
        <f>MIN(D38:G38)</f>
        <v>268.83999999999997</v>
      </c>
      <c r="K48" s="61">
        <f>MAX(D38:G38)</f>
        <v>387.78</v>
      </c>
      <c r="L48" s="61">
        <f>IFERROR(AVERAGE(D38:G38),"")</f>
        <v>335.15</v>
      </c>
    </row>
    <row r="49" spans="2:12" ht="12" customHeight="1">
      <c r="B49" s="58" t="s">
        <v>11</v>
      </c>
      <c r="G49" s="59"/>
      <c r="I49" s="60"/>
      <c r="J49" s="61"/>
      <c r="K49" s="61"/>
      <c r="L49" s="61">
        <f>IFERROR(ROUND(L48,1),"")</f>
        <v>335.2</v>
      </c>
    </row>
    <row r="50" spans="2:12" ht="12" customHeight="1">
      <c r="G50" s="59"/>
      <c r="I50" s="60"/>
      <c r="J50" s="60"/>
      <c r="K50" s="60"/>
      <c r="L50" s="60"/>
    </row>
    <row r="51" spans="2:12" ht="12" customHeight="1">
      <c r="G51" s="59"/>
      <c r="I51" s="60"/>
      <c r="J51" s="60"/>
      <c r="K51" s="60"/>
      <c r="L51" s="60"/>
    </row>
    <row r="52" spans="2:12" ht="12" customHeight="1">
      <c r="G52" s="59"/>
      <c r="I52" s="60"/>
      <c r="J52" s="60"/>
      <c r="K52" s="60"/>
      <c r="L52" s="60"/>
    </row>
    <row r="53" spans="2:12" ht="12" customHeight="1">
      <c r="G53" s="59"/>
    </row>
    <row r="54" spans="2:12" ht="12" customHeight="1">
      <c r="G54" s="59"/>
    </row>
    <row r="55" spans="2:12" ht="12" customHeight="1">
      <c r="G55" s="59"/>
    </row>
    <row r="56" spans="2:12" ht="12" customHeight="1">
      <c r="G56" s="59"/>
    </row>
    <row r="57" spans="2:12" ht="12" customHeight="1">
      <c r="G57" s="59"/>
    </row>
    <row r="58" spans="2:12" ht="12" customHeight="1">
      <c r="G58" s="59"/>
    </row>
    <row r="59" spans="2:12" ht="12" customHeight="1">
      <c r="G59" s="59"/>
    </row>
  </sheetData>
  <sheetProtection formatColumns="0" formatRows="0" insertColumns="0" insertRows="0"/>
  <mergeCells count="13">
    <mergeCell ref="B47:G47"/>
    <mergeCell ref="A1:G1"/>
    <mergeCell ref="B6:B7"/>
    <mergeCell ref="C6:C7"/>
    <mergeCell ref="D6:D7"/>
    <mergeCell ref="E6:E7"/>
    <mergeCell ref="F6:F7"/>
    <mergeCell ref="G6:G7"/>
    <mergeCell ref="C21:G21"/>
    <mergeCell ref="C26:G26"/>
    <mergeCell ref="B44:G44"/>
    <mergeCell ref="B45:G45"/>
    <mergeCell ref="B46:G46"/>
  </mergeCells>
  <printOptions horizontalCentered="1"/>
  <pageMargins left="0.25" right="0.25" top="0.75" bottom="0.75" header="0.3" footer="0.3"/>
  <pageSetup scale="95" orientation="portrait" r:id="rId1"/>
  <headerFooter scaleWithDoc="0">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30401" r:id="rId4" name="Button 1">
              <controlPr defaultSize="0" print="0" autoFill="0" autoPict="0" macro="[0]!transfer_clear_sale_grid">
                <anchor moveWithCells="1" sizeWithCells="1">
                  <from>
                    <xdr:col>10</xdr:col>
                    <xdr:colOff>0</xdr:colOff>
                    <xdr:row>25</xdr:row>
                    <xdr:rowOff>190500</xdr:rowOff>
                  </from>
                  <to>
                    <xdr:col>11</xdr:col>
                    <xdr:colOff>457200</xdr:colOff>
                    <xdr:row>27</xdr:row>
                    <xdr:rowOff>60960</xdr:rowOff>
                  </to>
                </anchor>
              </controlPr>
            </control>
          </mc:Choice>
        </mc:AlternateContent>
        <mc:AlternateContent xmlns:mc="http://schemas.openxmlformats.org/markup-compatibility/2006">
          <mc:Choice Requires="x14">
            <control shapeId="230402" r:id="rId5" name="Button 2">
              <controlPr defaultSize="0" print="0" autoFill="0" autoPict="0" macro="[0]!CalculateAgeAdjustment">
                <anchor moveWithCells="1" sizeWithCells="1">
                  <from>
                    <xdr:col>7</xdr:col>
                    <xdr:colOff>7620</xdr:colOff>
                    <xdr:row>29</xdr:row>
                    <xdr:rowOff>0</xdr:rowOff>
                  </from>
                  <to>
                    <xdr:col>8</xdr:col>
                    <xdr:colOff>868680</xdr:colOff>
                    <xdr:row>30</xdr:row>
                    <xdr:rowOff>0</xdr:rowOff>
                  </to>
                </anchor>
              </controlPr>
            </control>
          </mc:Choice>
        </mc:AlternateContent>
        <mc:AlternateContent xmlns:mc="http://schemas.openxmlformats.org/markup-compatibility/2006">
          <mc:Choice Requires="x14">
            <control shapeId="230403" r:id="rId6" name="Button 3">
              <controlPr defaultSize="0" print="0" autoFill="0" autoPict="0" macro="[0]!CalculateLandToBuildingAdjustment">
                <anchor moveWithCells="1" sizeWithCells="1">
                  <from>
                    <xdr:col>7</xdr:col>
                    <xdr:colOff>7620</xdr:colOff>
                    <xdr:row>34</xdr:row>
                    <xdr:rowOff>0</xdr:rowOff>
                  </from>
                  <to>
                    <xdr:col>8</xdr:col>
                    <xdr:colOff>861060</xdr:colOff>
                    <xdr:row>34</xdr:row>
                    <xdr:rowOff>190500</xdr:rowOff>
                  </to>
                </anchor>
              </controlPr>
            </control>
          </mc:Choice>
        </mc:AlternateContent>
        <mc:AlternateContent xmlns:mc="http://schemas.openxmlformats.org/markup-compatibility/2006">
          <mc:Choice Requires="x14">
            <control shapeId="230404" r:id="rId7" name="Button 4">
              <controlPr defaultSize="0" print="0" autoFill="0" autoPict="0" macro="[0]!SFAdjustment">
                <anchor moveWithCells="1" sizeWithCells="1">
                  <from>
                    <xdr:col>7</xdr:col>
                    <xdr:colOff>22860</xdr:colOff>
                    <xdr:row>26</xdr:row>
                    <xdr:rowOff>0</xdr:rowOff>
                  </from>
                  <to>
                    <xdr:col>8</xdr:col>
                    <xdr:colOff>868680</xdr:colOff>
                    <xdr:row>27</xdr:row>
                    <xdr:rowOff>0</xdr:rowOff>
                  </to>
                </anchor>
              </controlPr>
            </control>
          </mc:Choice>
        </mc:AlternateContent>
        <mc:AlternateContent xmlns:mc="http://schemas.openxmlformats.org/markup-compatibility/2006">
          <mc:Choice Requires="x14">
            <control shapeId="230405" r:id="rId8" name="Button 5">
              <controlPr defaultSize="0" print="0" autoFill="0" autoPict="0" macro="[0]!CalculateLocationAdjustment">
                <anchor moveWithCells="1" sizeWithCells="1">
                  <from>
                    <xdr:col>7</xdr:col>
                    <xdr:colOff>7620</xdr:colOff>
                    <xdr:row>27</xdr:row>
                    <xdr:rowOff>7620</xdr:rowOff>
                  </from>
                  <to>
                    <xdr:col>8</xdr:col>
                    <xdr:colOff>868680</xdr:colOff>
                    <xdr:row>27</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5985451-9777-43AC-80BC-AF0848065A8F}">
          <x14:formula1>
            <xm:f>'Program Data'!$AC$2:$AC$9</xm:f>
          </x14:formula1>
          <xm:sqref>D13:G13</xm:sqref>
        </x14:dataValidation>
        <x14:dataValidation type="list" allowBlank="1" showInputMessage="1" showErrorMessage="1" xr:uid="{021B3825-7452-4C56-BBAA-D62EAC6E090B}">
          <x14:formula1>
            <xm:f>'Program Data'!$C$2:$C$5</xm:f>
          </x14:formula1>
          <xm:sqref>D14:G14</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CD443-6B4F-42AB-AD9A-C488AF85AB2B}">
  <sheetPr codeName="Sheet55">
    <tabColor rgb="FF7030A0"/>
  </sheetPr>
  <dimension ref="A1:O100"/>
  <sheetViews>
    <sheetView showWhiteSpace="0" view="pageLayout" zoomScaleNormal="130" zoomScaleSheetLayoutView="100" workbookViewId="0">
      <selection activeCell="A2" sqref="A2"/>
    </sheetView>
  </sheetViews>
  <sheetFormatPr defaultColWidth="12.5546875" defaultRowHeight="14.4"/>
  <cols>
    <col min="1" max="1" width="12.5546875" style="12" customWidth="1"/>
    <col min="2" max="3" width="12.5546875" style="12"/>
    <col min="4" max="8" width="12.5546875" style="12" customWidth="1"/>
    <col min="9" max="16384" width="12.5546875" style="12"/>
  </cols>
  <sheetData>
    <row r="1" spans="1:15" ht="14.85" customHeight="1">
      <c r="A1" s="1058" t="s">
        <v>52</v>
      </c>
      <c r="B1" s="1058"/>
      <c r="C1" s="1058"/>
      <c r="D1" s="1058"/>
      <c r="E1" s="1058"/>
      <c r="F1" s="1058"/>
      <c r="G1" s="1058"/>
      <c r="H1" s="1058"/>
      <c r="I1" s="248"/>
      <c r="J1" s="248"/>
      <c r="K1" s="248"/>
      <c r="L1" s="248"/>
    </row>
    <row r="2" spans="1:15" ht="14.85" customHeight="1">
      <c r="A2" s="21"/>
      <c r="B2" s="314"/>
      <c r="C2" s="314"/>
      <c r="D2" s="314"/>
      <c r="E2" s="314"/>
      <c r="F2" s="314"/>
      <c r="G2" s="314"/>
      <c r="H2" s="314"/>
      <c r="I2" s="248"/>
      <c r="J2" s="248"/>
      <c r="K2" s="248"/>
      <c r="L2" s="248"/>
    </row>
    <row r="3" spans="1:15" ht="14.85" customHeight="1">
      <c r="A3" s="21"/>
      <c r="B3" s="21"/>
      <c r="C3" s="315"/>
      <c r="D3" s="315"/>
      <c r="E3" s="315"/>
      <c r="F3" s="315"/>
      <c r="G3" s="315"/>
      <c r="H3" s="315"/>
      <c r="I3" s="22"/>
    </row>
    <row r="4" spans="1:15" ht="14.85" customHeight="1">
      <c r="A4" s="315"/>
      <c r="B4" s="315"/>
      <c r="C4" s="315"/>
      <c r="D4" s="315"/>
      <c r="E4" s="315"/>
      <c r="F4" s="315"/>
      <c r="G4" s="315"/>
      <c r="H4" s="315"/>
      <c r="I4" s="22"/>
    </row>
    <row r="5" spans="1:15" ht="14.85" customHeight="1">
      <c r="A5" s="315"/>
      <c r="B5" s="21"/>
      <c r="C5" s="315"/>
      <c r="D5" s="315"/>
      <c r="E5" s="315"/>
      <c r="F5" s="315"/>
      <c r="G5" s="315"/>
      <c r="H5" s="315"/>
      <c r="I5" s="22"/>
    </row>
    <row r="6" spans="1:15" ht="14.85" customHeight="1">
      <c r="A6" s="315"/>
      <c r="B6" s="315"/>
      <c r="C6" s="315"/>
      <c r="D6" s="315"/>
      <c r="E6" s="315"/>
      <c r="F6" s="315"/>
      <c r="G6" s="315"/>
      <c r="H6" s="315"/>
      <c r="I6" s="22"/>
    </row>
    <row r="7" spans="1:15" ht="14.85" customHeight="1">
      <c r="A7" s="315"/>
      <c r="B7" s="315"/>
      <c r="C7" s="315"/>
      <c r="D7" s="315"/>
      <c r="E7" s="315"/>
      <c r="F7" s="315"/>
      <c r="G7" s="315"/>
      <c r="H7" s="315"/>
      <c r="I7" s="22"/>
      <c r="K7" s="7" t="s">
        <v>295</v>
      </c>
    </row>
    <row r="8" spans="1:15" ht="14.85" customHeight="1">
      <c r="A8" s="22"/>
      <c r="B8" s="251"/>
      <c r="C8" s="251"/>
      <c r="D8" s="251"/>
      <c r="E8" s="251"/>
      <c r="F8" s="251"/>
      <c r="G8" s="251"/>
      <c r="H8" s="251"/>
      <c r="I8" s="22"/>
    </row>
    <row r="9" spans="1:15" ht="14.85" customHeight="1">
      <c r="A9" s="22"/>
      <c r="B9" s="251"/>
      <c r="C9" s="251"/>
      <c r="D9" s="251"/>
      <c r="E9" s="251"/>
      <c r="F9" s="251"/>
      <c r="G9" s="251"/>
      <c r="H9" s="251"/>
      <c r="I9" s="22"/>
    </row>
    <row r="10" spans="1:15" ht="14.85" customHeight="1">
      <c r="A10" s="21"/>
      <c r="B10" s="22"/>
      <c r="C10" s="22"/>
      <c r="D10" s="22"/>
      <c r="E10" s="22"/>
      <c r="F10" s="22"/>
      <c r="G10" s="22"/>
      <c r="H10" s="22"/>
      <c r="I10" s="22"/>
    </row>
    <row r="11" spans="1:15" ht="14.85" customHeight="1">
      <c r="A11" s="22"/>
      <c r="B11" s="22"/>
      <c r="C11" s="22"/>
      <c r="D11" s="22"/>
      <c r="E11" s="22"/>
      <c r="F11" s="22"/>
      <c r="G11" s="22"/>
      <c r="H11" s="22"/>
      <c r="I11" s="22"/>
    </row>
    <row r="12" spans="1:15" ht="14.85" customHeight="1">
      <c r="A12" s="22"/>
      <c r="B12" s="22"/>
      <c r="C12" s="22"/>
      <c r="D12" s="22"/>
      <c r="E12" s="22"/>
      <c r="F12" s="22"/>
      <c r="G12" s="22"/>
      <c r="H12" s="22"/>
      <c r="I12" s="22"/>
    </row>
    <row r="13" spans="1:15" ht="14.85" customHeight="1">
      <c r="A13" s="22"/>
      <c r="B13" s="22"/>
      <c r="C13" s="22"/>
      <c r="D13" s="22"/>
      <c r="E13" s="22"/>
      <c r="F13" s="22"/>
      <c r="G13" s="22"/>
      <c r="H13" s="22"/>
      <c r="I13" s="22"/>
      <c r="M13" s="270"/>
      <c r="N13" s="270"/>
      <c r="O13" s="270"/>
    </row>
    <row r="14" spans="1:15" ht="14.85" customHeight="1">
      <c r="A14" s="22"/>
      <c r="B14" s="22"/>
      <c r="C14" s="22"/>
      <c r="D14" s="22"/>
      <c r="E14" s="22"/>
      <c r="F14" s="22"/>
      <c r="G14" s="22"/>
      <c r="H14" s="22"/>
      <c r="I14" s="22"/>
      <c r="M14" s="270"/>
      <c r="N14" s="270"/>
      <c r="O14" s="270"/>
    </row>
    <row r="15" spans="1:15" ht="14.85" customHeight="1">
      <c r="A15" s="22"/>
      <c r="B15" s="22"/>
      <c r="C15" s="22"/>
      <c r="D15" s="22"/>
      <c r="E15" s="22"/>
      <c r="F15" s="22"/>
      <c r="G15" s="22"/>
      <c r="H15" s="22"/>
      <c r="I15" s="22"/>
    </row>
    <row r="16" spans="1:15" ht="14.85" customHeight="1">
      <c r="A16" s="22"/>
      <c r="B16" s="22"/>
      <c r="C16" s="22"/>
      <c r="D16" s="22"/>
      <c r="E16" s="22"/>
      <c r="F16" s="22"/>
      <c r="G16" s="22"/>
      <c r="H16" s="22"/>
      <c r="I16" s="22"/>
      <c r="K16" s="309"/>
    </row>
    <row r="17" spans="1:9" ht="14.85" customHeight="1">
      <c r="A17" s="22"/>
      <c r="B17" s="22"/>
      <c r="C17" s="22"/>
      <c r="D17" s="22"/>
      <c r="E17" s="22"/>
      <c r="F17" s="22"/>
      <c r="G17" s="22"/>
      <c r="H17" s="22"/>
      <c r="I17" s="22"/>
    </row>
    <row r="18" spans="1:9" ht="14.85" customHeight="1">
      <c r="A18" s="22"/>
      <c r="B18" s="22"/>
      <c r="C18" s="22"/>
      <c r="D18" s="22"/>
      <c r="E18" s="22"/>
      <c r="F18" s="22"/>
      <c r="G18" s="22"/>
      <c r="H18" s="22"/>
    </row>
    <row r="19" spans="1:9" ht="14.85" customHeight="1">
      <c r="A19" s="22"/>
      <c r="B19" s="22"/>
      <c r="C19" s="22"/>
      <c r="D19" s="22"/>
      <c r="E19" s="22"/>
      <c r="F19" s="22"/>
      <c r="G19" s="22"/>
      <c r="H19" s="22"/>
    </row>
    <row r="20" spans="1:9" ht="14.85" customHeight="1">
      <c r="A20" s="22"/>
      <c r="B20" s="316"/>
      <c r="C20" s="316"/>
      <c r="D20" s="316"/>
      <c r="E20" s="316"/>
      <c r="F20" s="316"/>
      <c r="G20" s="316"/>
      <c r="H20" s="316"/>
    </row>
    <row r="21" spans="1:9" ht="14.85" customHeight="1">
      <c r="A21" s="316"/>
      <c r="B21" s="316"/>
      <c r="C21" s="316"/>
      <c r="D21" s="316"/>
      <c r="E21" s="316"/>
      <c r="F21" s="316"/>
      <c r="G21" s="316"/>
      <c r="H21" s="316"/>
    </row>
    <row r="22" spans="1:9" ht="14.85" customHeight="1">
      <c r="A22" s="316"/>
      <c r="B22" s="316"/>
      <c r="C22" s="316"/>
      <c r="D22" s="316"/>
      <c r="E22" s="316"/>
      <c r="F22" s="316"/>
      <c r="G22" s="316"/>
      <c r="H22" s="316"/>
    </row>
    <row r="23" spans="1:9" ht="14.85" customHeight="1">
      <c r="A23" s="316"/>
      <c r="B23" s="316"/>
      <c r="C23" s="316"/>
      <c r="D23" s="316"/>
      <c r="E23" s="316"/>
      <c r="F23" s="316"/>
      <c r="G23" s="316"/>
      <c r="H23" s="316"/>
    </row>
    <row r="24" spans="1:9" ht="14.85" customHeight="1">
      <c r="A24" s="316"/>
      <c r="B24" s="316"/>
      <c r="C24" s="316"/>
      <c r="D24" s="316"/>
      <c r="E24" s="316"/>
      <c r="F24" s="316"/>
      <c r="G24" s="316"/>
      <c r="H24" s="316"/>
    </row>
    <row r="25" spans="1:9" ht="14.85" customHeight="1">
      <c r="A25" s="246" t="s">
        <v>288</v>
      </c>
      <c r="B25" s="246" t="s">
        <v>293</v>
      </c>
      <c r="C25" s="246" t="str">
        <f>IF(INPUT!J2,"ROLL VALUE",IF(INPUT!J3,"SALE PRICE",IF(INPUT!J4,"TOTAL VALUE","ROLL VALUE")))</f>
        <v>SALE PRICE</v>
      </c>
      <c r="D25" s="249" t="str">
        <f>IF(INPUT!G3,"ACREAGE","SQ FT")</f>
        <v>SQ FT</v>
      </c>
      <c r="E25" s="246" t="str">
        <f>IF(INPUT!G3,"$/ACRE","$/SQ FT")</f>
        <v>$/SQ FT</v>
      </c>
      <c r="F25" s="878" t="s">
        <v>291</v>
      </c>
      <c r="G25" s="878"/>
      <c r="H25" s="878"/>
    </row>
    <row r="26" spans="1:9" ht="14.85" customHeight="1">
      <c r="A26" s="879">
        <f>INPUT!B30</f>
        <v>107350009</v>
      </c>
      <c r="B26" s="880">
        <f>INPUT!B5</f>
        <v>46031</v>
      </c>
      <c r="C26" s="883">
        <f>IF(INPUT!B24&lt;&gt;"",INPUT!B24,INPUT!B25)</f>
        <v>3928960</v>
      </c>
      <c r="D26" s="884">
        <f>IF(INPUT!G3,INPUT!B38,INPUT!B35)</f>
        <v>10490</v>
      </c>
      <c r="E26" s="885">
        <f>IFERROR(C26/D26, "—")</f>
        <v>374.54337464251671</v>
      </c>
      <c r="F26" s="879" t="str">
        <f>CONCATENATE(UPPER(TEXT(IF(LEN(TRIM(INPUT!B31))&gt;0, INPUT!B31, INPUT!B43), "@")), ", ", UPPER(TEXT(INPUT!B32,"@")), ", CA")</f>
        <v>1215 GRAPHITE DR, CORONA, CA</v>
      </c>
      <c r="G26" s="879"/>
      <c r="H26" s="879"/>
    </row>
    <row r="27" spans="1:9" ht="14.85" customHeight="1">
      <c r="A27" s="879"/>
      <c r="B27" s="881"/>
      <c r="C27" s="883"/>
      <c r="D27" s="884"/>
      <c r="E27" s="885"/>
      <c r="F27" s="879"/>
      <c r="G27" s="879"/>
      <c r="H27" s="879"/>
    </row>
    <row r="28" spans="1:9" ht="14.85" customHeight="1">
      <c r="A28" s="22"/>
      <c r="B28" s="343"/>
      <c r="C28" s="343"/>
      <c r="D28" s="343"/>
      <c r="E28" s="344"/>
      <c r="F28" s="22"/>
      <c r="G28" s="22"/>
      <c r="H28" s="255"/>
    </row>
    <row r="29" spans="1:9" ht="14.85" customHeight="1">
      <c r="A29" s="22"/>
      <c r="B29" s="22"/>
      <c r="C29" s="22"/>
      <c r="D29" s="22"/>
      <c r="E29" s="22"/>
      <c r="F29" s="22"/>
      <c r="G29" s="22"/>
      <c r="H29" s="22"/>
    </row>
    <row r="30" spans="1:9" ht="14.85" customHeight="1">
      <c r="A30" s="22"/>
      <c r="B30" s="251"/>
      <c r="C30" s="251"/>
      <c r="D30" s="251"/>
      <c r="E30" s="251"/>
      <c r="F30" s="251"/>
      <c r="G30" s="22"/>
      <c r="H30" s="22"/>
    </row>
    <row r="31" spans="1:9" ht="14.85" customHeight="1">
      <c r="A31" s="22"/>
      <c r="B31" s="251"/>
      <c r="C31" s="251"/>
      <c r="D31" s="251"/>
      <c r="E31" s="251"/>
      <c r="F31" s="251"/>
      <c r="G31" s="22"/>
      <c r="H31" s="22"/>
    </row>
    <row r="32" spans="1:9">
      <c r="A32" s="22"/>
      <c r="B32" s="22"/>
      <c r="C32" s="22"/>
      <c r="D32" s="22"/>
      <c r="E32" s="22"/>
      <c r="F32" s="22"/>
      <c r="G32" s="22"/>
      <c r="H32" s="22"/>
    </row>
    <row r="33" spans="1:13" ht="14.4" customHeight="1">
      <c r="A33" s="22"/>
      <c r="B33" s="22"/>
      <c r="C33" s="22"/>
      <c r="D33" s="22"/>
      <c r="E33" s="22"/>
      <c r="F33" s="22"/>
      <c r="G33" s="22"/>
      <c r="H33" s="22"/>
    </row>
    <row r="34" spans="1:13" ht="14.85" customHeight="1">
      <c r="A34" s="22"/>
      <c r="B34" s="22"/>
      <c r="C34" s="22"/>
      <c r="D34" s="22"/>
      <c r="E34" s="22"/>
      <c r="F34" s="22"/>
      <c r="G34" s="22"/>
      <c r="H34" s="22"/>
    </row>
    <row r="35" spans="1:13" ht="14.85" customHeight="1">
      <c r="A35" s="22"/>
      <c r="B35" s="22"/>
      <c r="C35" s="22"/>
      <c r="D35" s="22"/>
      <c r="E35" s="22"/>
      <c r="F35" s="22"/>
      <c r="G35" s="22"/>
      <c r="H35" s="22"/>
    </row>
    <row r="36" spans="1:13" ht="14.85" customHeight="1">
      <c r="A36" s="22"/>
      <c r="B36" s="22"/>
      <c r="C36" s="22"/>
      <c r="D36" s="22"/>
      <c r="E36" s="22"/>
      <c r="F36" s="22"/>
      <c r="G36" s="22"/>
      <c r="H36" s="22"/>
    </row>
    <row r="37" spans="1:13" ht="14.85" customHeight="1">
      <c r="A37" s="22"/>
      <c r="B37" s="22"/>
      <c r="C37" s="22"/>
      <c r="D37" s="22"/>
      <c r="E37" s="22"/>
      <c r="F37" s="22"/>
      <c r="G37" s="22"/>
      <c r="H37" s="22"/>
      <c r="I37" s="22"/>
      <c r="J37" s="22"/>
    </row>
    <row r="38" spans="1:13" ht="14.85" customHeight="1">
      <c r="A38" s="22"/>
      <c r="B38" s="22"/>
      <c r="C38" s="22"/>
      <c r="D38" s="22"/>
      <c r="E38" s="22"/>
      <c r="F38" s="22"/>
      <c r="G38" s="22"/>
      <c r="H38" s="22"/>
      <c r="I38" s="22"/>
      <c r="J38" s="22"/>
      <c r="K38" s="22"/>
      <c r="L38" s="22"/>
      <c r="M38" s="22"/>
    </row>
    <row r="39" spans="1:13" ht="14.85" customHeight="1">
      <c r="A39" s="22"/>
      <c r="B39" s="22"/>
      <c r="C39" s="22"/>
      <c r="D39" s="22"/>
      <c r="E39" s="22"/>
      <c r="F39" s="22"/>
      <c r="G39" s="22"/>
      <c r="H39" s="22"/>
    </row>
    <row r="40" spans="1:13" ht="14.85" customHeight="1">
      <c r="A40" s="22"/>
      <c r="B40" s="22"/>
      <c r="C40" s="22"/>
      <c r="D40" s="22"/>
      <c r="E40" s="22"/>
      <c r="F40" s="22"/>
      <c r="G40" s="22"/>
      <c r="H40" s="22"/>
    </row>
    <row r="41" spans="1:13" ht="14.85" customHeight="1">
      <c r="A41" s="22"/>
      <c r="B41" s="22"/>
      <c r="C41" s="22"/>
      <c r="D41" s="22"/>
      <c r="E41" s="22"/>
      <c r="F41" s="22"/>
      <c r="G41" s="22"/>
      <c r="H41" s="22"/>
    </row>
    <row r="42" spans="1:13" ht="14.85" customHeight="1">
      <c r="A42" s="22"/>
      <c r="B42" s="22"/>
      <c r="C42" s="22"/>
      <c r="D42" s="22"/>
      <c r="E42" s="22"/>
      <c r="F42" s="22"/>
      <c r="G42" s="22"/>
      <c r="H42" s="22"/>
    </row>
    <row r="43" spans="1:13" ht="14.85" customHeight="1">
      <c r="A43" s="22"/>
      <c r="B43" s="22"/>
      <c r="C43" s="22"/>
      <c r="D43" s="22"/>
      <c r="E43" s="22"/>
      <c r="F43" s="22"/>
      <c r="G43" s="22"/>
      <c r="H43" s="22"/>
    </row>
    <row r="44" spans="1:13" ht="14.85" customHeight="1">
      <c r="A44" s="22"/>
      <c r="B44" s="22"/>
      <c r="C44" s="22"/>
      <c r="D44" s="22"/>
      <c r="E44" s="22"/>
      <c r="F44" s="22"/>
      <c r="G44" s="22"/>
      <c r="H44" s="22"/>
    </row>
    <row r="45" spans="1:13" ht="14.85" customHeight="1">
      <c r="A45" s="22"/>
      <c r="B45" s="22"/>
      <c r="C45" s="22"/>
      <c r="D45" s="22"/>
      <c r="E45" s="22"/>
      <c r="F45" s="22"/>
      <c r="G45" s="22"/>
      <c r="H45" s="22"/>
    </row>
    <row r="46" spans="1:13" ht="14.85" customHeight="1">
      <c r="A46" s="22"/>
      <c r="B46" s="22"/>
      <c r="C46" s="22"/>
      <c r="D46" s="22"/>
      <c r="E46" s="22"/>
      <c r="F46" s="22"/>
      <c r="G46" s="22"/>
      <c r="H46" s="22"/>
    </row>
    <row r="47" spans="1:13" ht="14.85" customHeight="1">
      <c r="A47" s="22"/>
      <c r="B47" s="22"/>
      <c r="C47" s="22"/>
      <c r="D47" s="22"/>
      <c r="E47" s="22"/>
      <c r="F47" s="22"/>
      <c r="G47" s="22"/>
      <c r="H47" s="22"/>
    </row>
    <row r="48" spans="1:13" ht="14.85" customHeight="1">
      <c r="A48" s="22"/>
      <c r="B48" s="22"/>
      <c r="C48" s="22"/>
      <c r="D48" s="22"/>
      <c r="E48" s="22"/>
      <c r="F48" s="22"/>
      <c r="G48" s="22"/>
      <c r="H48" s="22"/>
    </row>
    <row r="49" spans="1:10" ht="14.85" customHeight="1">
      <c r="A49" s="22"/>
      <c r="B49" s="22"/>
      <c r="C49" s="22"/>
      <c r="D49" s="22"/>
      <c r="E49" s="22"/>
      <c r="F49" s="22"/>
      <c r="G49" s="22"/>
      <c r="H49" s="22"/>
    </row>
    <row r="50" spans="1:10" ht="14.85" customHeight="1">
      <c r="A50" s="22"/>
      <c r="B50" s="22"/>
      <c r="C50" s="22"/>
      <c r="D50" s="22"/>
      <c r="E50" s="22"/>
      <c r="F50" s="22"/>
      <c r="G50" s="22"/>
      <c r="H50" s="22"/>
    </row>
    <row r="51" spans="1:10" ht="14.85" customHeight="1">
      <c r="A51" s="870" t="s">
        <v>52</v>
      </c>
      <c r="B51" s="870"/>
      <c r="C51" s="870"/>
      <c r="D51" s="870"/>
      <c r="E51" s="870"/>
      <c r="F51" s="870"/>
      <c r="G51" s="870"/>
      <c r="H51" s="870"/>
    </row>
    <row r="52" spans="1:10" ht="14.85" customHeight="1">
      <c r="A52" s="22"/>
      <c r="B52" s="314"/>
      <c r="C52" s="314"/>
      <c r="D52" s="314"/>
      <c r="E52" s="314"/>
      <c r="F52" s="314"/>
      <c r="G52" s="314"/>
      <c r="H52" s="314"/>
      <c r="I52" s="248"/>
      <c r="J52" s="248"/>
    </row>
    <row r="53" spans="1:10" ht="14.85" customHeight="1">
      <c r="A53" s="22"/>
      <c r="B53" s="314"/>
      <c r="C53" s="314"/>
      <c r="D53" s="314"/>
      <c r="E53" s="314"/>
      <c r="F53" s="314"/>
      <c r="G53" s="314"/>
      <c r="H53" s="314"/>
      <c r="I53" s="248"/>
    </row>
    <row r="54" spans="1:10" ht="14.85" customHeight="1">
      <c r="A54" s="22"/>
      <c r="B54" s="22"/>
      <c r="C54" s="22"/>
      <c r="D54" s="22"/>
      <c r="E54" s="22"/>
      <c r="F54" s="22"/>
      <c r="G54" s="22"/>
      <c r="H54" s="22"/>
    </row>
    <row r="55" spans="1:10" ht="14.85" customHeight="1">
      <c r="A55" s="22"/>
      <c r="B55" s="22"/>
      <c r="C55" s="22"/>
      <c r="D55" s="22"/>
      <c r="E55" s="22"/>
      <c r="F55" s="22"/>
      <c r="G55" s="22"/>
      <c r="H55" s="22"/>
    </row>
    <row r="56" spans="1:10" ht="14.85" customHeight="1">
      <c r="A56" s="22"/>
      <c r="B56" s="22"/>
      <c r="C56" s="22"/>
      <c r="D56" s="22"/>
      <c r="E56" s="22"/>
      <c r="F56" s="22"/>
      <c r="G56" s="22"/>
      <c r="H56" s="22"/>
    </row>
    <row r="57" spans="1:10" ht="14.85" customHeight="1">
      <c r="A57" s="22"/>
      <c r="B57" s="22" t="s">
        <v>153</v>
      </c>
      <c r="C57" s="22"/>
      <c r="D57" s="22"/>
      <c r="E57" s="22"/>
      <c r="F57" s="22"/>
      <c r="G57" s="22"/>
      <c r="H57" s="22"/>
    </row>
    <row r="58" spans="1:10" ht="14.85" customHeight="1">
      <c r="A58" s="22"/>
      <c r="B58" s="22"/>
      <c r="C58" s="22"/>
      <c r="D58" s="22"/>
      <c r="E58" s="22"/>
      <c r="F58" s="22"/>
      <c r="G58" s="22"/>
      <c r="H58" s="22"/>
    </row>
    <row r="59" spans="1:10" ht="14.85" customHeight="1">
      <c r="A59" s="22"/>
      <c r="B59" s="22"/>
      <c r="C59" s="22"/>
      <c r="D59" s="22"/>
      <c r="E59" s="22"/>
      <c r="F59" s="22"/>
      <c r="G59" s="22"/>
      <c r="H59" s="22"/>
    </row>
    <row r="60" spans="1:10" ht="14.85" customHeight="1">
      <c r="A60" s="22"/>
      <c r="B60" s="22"/>
      <c r="C60" s="22"/>
      <c r="D60" s="22"/>
      <c r="E60" s="22"/>
      <c r="F60" s="22"/>
      <c r="G60" s="22"/>
      <c r="H60" s="22"/>
    </row>
    <row r="61" spans="1:10" ht="14.85" customHeight="1">
      <c r="A61" s="22"/>
      <c r="B61" s="22"/>
      <c r="C61" s="22"/>
      <c r="D61" s="22"/>
      <c r="E61" s="22"/>
      <c r="F61" s="22"/>
      <c r="G61" s="22"/>
      <c r="H61" s="22"/>
    </row>
    <row r="62" spans="1:10" ht="14.85" customHeight="1">
      <c r="A62" s="22"/>
      <c r="B62" s="22"/>
      <c r="C62" s="22"/>
      <c r="D62" s="22"/>
      <c r="E62" s="22"/>
      <c r="F62" s="22"/>
      <c r="G62" s="22"/>
      <c r="H62" s="22"/>
    </row>
    <row r="63" spans="1:10" ht="14.85" customHeight="1">
      <c r="A63" s="22"/>
      <c r="B63" s="22"/>
      <c r="C63" s="22"/>
      <c r="D63" s="22"/>
      <c r="E63" s="22"/>
      <c r="F63" s="22"/>
      <c r="G63" s="22"/>
      <c r="H63" s="22"/>
    </row>
    <row r="64" spans="1:10" ht="14.85" customHeight="1">
      <c r="A64" s="22"/>
      <c r="B64" s="22"/>
      <c r="C64" s="22"/>
      <c r="D64" s="22"/>
      <c r="E64" s="22"/>
      <c r="F64" s="22"/>
      <c r="G64" s="22"/>
      <c r="H64" s="22"/>
    </row>
    <row r="65" spans="1:8" ht="14.85" customHeight="1">
      <c r="A65" s="22"/>
      <c r="B65" s="22"/>
      <c r="C65" s="22"/>
      <c r="D65" s="22"/>
      <c r="E65" s="22"/>
      <c r="F65" s="22"/>
      <c r="G65" s="22"/>
      <c r="H65" s="22"/>
    </row>
    <row r="66" spans="1:8" ht="14.85" customHeight="1">
      <c r="A66" s="22"/>
      <c r="B66" s="22"/>
      <c r="C66" s="22"/>
      <c r="D66" s="22"/>
      <c r="E66" s="22"/>
      <c r="F66" s="22"/>
      <c r="G66" s="22"/>
      <c r="H66" s="22"/>
    </row>
    <row r="67" spans="1:8" ht="14.85" customHeight="1">
      <c r="A67" s="22"/>
      <c r="B67" s="22"/>
      <c r="C67" s="22"/>
      <c r="D67" s="22"/>
      <c r="E67" s="22"/>
      <c r="F67" s="22"/>
      <c r="G67" s="22"/>
      <c r="H67" s="22"/>
    </row>
    <row r="68" spans="1:8" ht="14.85" customHeight="1">
      <c r="A68" s="22"/>
      <c r="B68" s="22"/>
      <c r="C68" s="22"/>
      <c r="D68" s="22"/>
      <c r="E68" s="22"/>
      <c r="F68" s="22"/>
      <c r="G68" s="22"/>
      <c r="H68" s="22"/>
    </row>
    <row r="69" spans="1:8" ht="14.85" customHeight="1">
      <c r="A69" s="22"/>
      <c r="B69" s="22"/>
      <c r="C69" s="22"/>
      <c r="D69" s="22"/>
      <c r="E69" s="22"/>
      <c r="F69" s="22"/>
      <c r="G69" s="22"/>
      <c r="H69" s="22"/>
    </row>
    <row r="70" spans="1:8" ht="14.85" customHeight="1">
      <c r="A70" s="22"/>
      <c r="B70" s="22"/>
      <c r="C70" s="22"/>
      <c r="D70" s="22"/>
      <c r="E70" s="22"/>
      <c r="F70" s="22"/>
      <c r="G70" s="22"/>
      <c r="H70" s="22"/>
    </row>
    <row r="71" spans="1:8" ht="14.85" customHeight="1">
      <c r="A71" s="22"/>
      <c r="B71" s="22"/>
      <c r="C71" s="22"/>
      <c r="D71" s="22"/>
      <c r="E71" s="22"/>
      <c r="F71" s="22"/>
      <c r="G71" s="22"/>
      <c r="H71" s="22"/>
    </row>
    <row r="72" spans="1:8" ht="14.85" customHeight="1">
      <c r="A72" s="22"/>
      <c r="B72" s="22"/>
      <c r="C72" s="22"/>
      <c r="D72" s="22"/>
      <c r="E72" s="22"/>
      <c r="F72" s="22"/>
      <c r="G72" s="22"/>
      <c r="H72" s="22"/>
    </row>
    <row r="73" spans="1:8" ht="14.85" customHeight="1">
      <c r="A73" s="22"/>
      <c r="B73" s="22"/>
      <c r="C73" s="22"/>
      <c r="D73" s="22"/>
      <c r="E73" s="22"/>
      <c r="F73" s="22"/>
      <c r="G73" s="22"/>
      <c r="H73" s="22"/>
    </row>
    <row r="74" spans="1:8" ht="14.85" customHeight="1">
      <c r="A74" s="22"/>
      <c r="B74" s="22"/>
      <c r="C74" s="22"/>
      <c r="D74" s="22"/>
      <c r="E74" s="22"/>
      <c r="F74" s="22"/>
      <c r="G74" s="22"/>
      <c r="H74" s="22"/>
    </row>
    <row r="75" spans="1:8" ht="14.85" customHeight="1">
      <c r="A75" s="246" t="s">
        <v>288</v>
      </c>
      <c r="B75" s="246" t="s">
        <v>293</v>
      </c>
      <c r="C75" s="246" t="s">
        <v>292</v>
      </c>
      <c r="D75" s="249" t="s">
        <v>290</v>
      </c>
      <c r="E75" s="246" t="str">
        <f>IF(INPUT!G3,"$/ACRE","$/SQ FT")</f>
        <v>$/SQ FT</v>
      </c>
      <c r="F75" s="878" t="s">
        <v>291</v>
      </c>
      <c r="G75" s="878"/>
      <c r="H75" s="878"/>
    </row>
    <row r="76" spans="1:8" ht="14.85" customHeight="1">
      <c r="A76" s="881">
        <f>INPUT!B30</f>
        <v>107350009</v>
      </c>
      <c r="B76" s="882">
        <f>INPUT!B5</f>
        <v>46031</v>
      </c>
      <c r="C76" s="883">
        <f>INPUT!B25</f>
        <v>0</v>
      </c>
      <c r="D76" s="884">
        <f>IF(INPUT!G3,INPUT!B38,INPUT!B35)</f>
        <v>10490</v>
      </c>
      <c r="E76" s="885">
        <f>IFERROR(C76/D76, "—")</f>
        <v>0</v>
      </c>
      <c r="F76" s="881" t="str">
        <f>CONCATENATE(UPPER(TEXT(IF(LEN(TRIM(INPUT!B31))&gt;0, INPUT!B31, INPUT!B43), "@")), ", ", UPPER(TEXT(INPUT!B32,"@")), ", CA")</f>
        <v>1215 GRAPHITE DR, CORONA, CA</v>
      </c>
      <c r="G76" s="881"/>
      <c r="H76" s="881"/>
    </row>
    <row r="77" spans="1:8" ht="14.85" customHeight="1">
      <c r="A77" s="881"/>
      <c r="B77" s="879"/>
      <c r="C77" s="883"/>
      <c r="D77" s="884"/>
      <c r="E77" s="885"/>
      <c r="F77" s="881"/>
      <c r="G77" s="881"/>
      <c r="H77" s="881"/>
    </row>
    <row r="78" spans="1:8" ht="14.85" customHeight="1">
      <c r="A78" s="22"/>
      <c r="B78" s="22"/>
      <c r="C78" s="22"/>
      <c r="D78" s="22"/>
      <c r="E78" s="22"/>
      <c r="F78" s="22"/>
      <c r="G78" s="22"/>
      <c r="H78" s="22"/>
    </row>
    <row r="79" spans="1:8" ht="14.85" customHeight="1">
      <c r="A79" s="22"/>
      <c r="B79" s="22"/>
      <c r="C79" s="22"/>
      <c r="D79" s="22"/>
      <c r="E79" s="22"/>
      <c r="F79" s="22"/>
      <c r="G79" s="22"/>
      <c r="H79" s="22"/>
    </row>
    <row r="80" spans="1:8" ht="14.85" customHeight="1">
      <c r="A80" s="22"/>
      <c r="B80" s="22"/>
      <c r="C80" s="22"/>
      <c r="D80" s="22"/>
      <c r="E80" s="22"/>
      <c r="F80" s="22"/>
      <c r="G80" s="22"/>
      <c r="H80" s="22"/>
    </row>
    <row r="81" spans="1:8" ht="14.85" customHeight="1">
      <c r="A81" s="22"/>
      <c r="B81" s="22"/>
      <c r="C81" s="22"/>
      <c r="D81" s="22"/>
      <c r="E81" s="22"/>
      <c r="F81" s="22"/>
      <c r="G81" s="22"/>
      <c r="H81" s="22"/>
    </row>
    <row r="82" spans="1:8" ht="14.85" customHeight="1">
      <c r="A82" s="22"/>
      <c r="B82" s="22"/>
      <c r="C82" s="22"/>
      <c r="D82" s="22"/>
      <c r="E82" s="22"/>
      <c r="F82" s="22"/>
      <c r="G82" s="22"/>
      <c r="H82" s="22"/>
    </row>
    <row r="83" spans="1:8" ht="14.85" customHeight="1">
      <c r="A83" s="22"/>
      <c r="B83" s="22"/>
      <c r="C83" s="22"/>
      <c r="D83" s="22"/>
      <c r="E83" s="22"/>
      <c r="F83" s="22"/>
      <c r="G83" s="22"/>
      <c r="H83" s="22"/>
    </row>
    <row r="84" spans="1:8" ht="14.85" customHeight="1">
      <c r="A84" s="22"/>
      <c r="B84" s="22"/>
      <c r="C84" s="22"/>
      <c r="D84" s="22"/>
      <c r="E84" s="22"/>
      <c r="F84" s="22"/>
      <c r="G84" s="22"/>
      <c r="H84" s="22"/>
    </row>
    <row r="85" spans="1:8" ht="14.85" customHeight="1">
      <c r="A85" s="22"/>
      <c r="B85" s="22"/>
      <c r="C85" s="22"/>
      <c r="D85" s="22"/>
      <c r="E85" s="22"/>
      <c r="F85" s="22"/>
      <c r="G85" s="22"/>
      <c r="H85" s="22"/>
    </row>
    <row r="86" spans="1:8" ht="14.85" customHeight="1">
      <c r="A86" s="22"/>
      <c r="B86" s="22"/>
      <c r="C86" s="22"/>
      <c r="D86" s="22"/>
      <c r="E86" s="22"/>
      <c r="F86" s="22"/>
      <c r="G86" s="22"/>
      <c r="H86" s="22"/>
    </row>
    <row r="87" spans="1:8" ht="14.85" customHeight="1">
      <c r="A87" s="22"/>
      <c r="B87" s="22"/>
      <c r="C87" s="22"/>
      <c r="D87" s="22"/>
      <c r="E87" s="22"/>
      <c r="F87" s="22"/>
      <c r="G87" s="22"/>
      <c r="H87" s="22"/>
    </row>
    <row r="88" spans="1:8" ht="14.85" customHeight="1">
      <c r="A88" s="22"/>
      <c r="B88" s="22"/>
      <c r="C88" s="22"/>
      <c r="D88" s="22"/>
      <c r="E88" s="22"/>
      <c r="F88" s="22"/>
      <c r="G88" s="22"/>
      <c r="H88" s="22"/>
    </row>
    <row r="89" spans="1:8" ht="14.85" customHeight="1">
      <c r="A89" s="22"/>
      <c r="B89" s="22"/>
      <c r="C89" s="22"/>
      <c r="D89" s="22"/>
      <c r="E89" s="22"/>
      <c r="F89" s="22"/>
      <c r="G89" s="22"/>
      <c r="H89" s="22"/>
    </row>
    <row r="90" spans="1:8" ht="14.85" customHeight="1">
      <c r="A90" s="22"/>
      <c r="B90" s="22"/>
      <c r="C90" s="22"/>
      <c r="D90" s="22"/>
      <c r="E90" s="22"/>
      <c r="F90" s="22"/>
      <c r="G90" s="22"/>
      <c r="H90" s="22"/>
    </row>
    <row r="91" spans="1:8" ht="14.85" customHeight="1">
      <c r="A91" s="22"/>
      <c r="B91" s="22"/>
      <c r="C91" s="22"/>
      <c r="D91" s="22"/>
      <c r="E91" s="22"/>
      <c r="F91" s="22"/>
      <c r="G91" s="22"/>
      <c r="H91" s="22"/>
    </row>
    <row r="92" spans="1:8" ht="14.85" customHeight="1">
      <c r="A92" s="22"/>
      <c r="B92" s="22"/>
      <c r="C92" s="22"/>
      <c r="D92" s="22"/>
      <c r="E92" s="22"/>
      <c r="F92" s="22"/>
      <c r="G92" s="22"/>
      <c r="H92" s="22"/>
    </row>
    <row r="93" spans="1:8" ht="14.85" customHeight="1">
      <c r="A93" s="22"/>
      <c r="B93" s="22"/>
      <c r="C93" s="22"/>
      <c r="D93" s="22"/>
      <c r="E93" s="22"/>
      <c r="F93" s="22"/>
      <c r="G93" s="22"/>
      <c r="H93" s="22"/>
    </row>
    <row r="94" spans="1:8" ht="14.85" customHeight="1">
      <c r="A94" s="22"/>
      <c r="B94" s="22"/>
      <c r="C94" s="22"/>
      <c r="D94" s="22"/>
      <c r="E94" s="22"/>
      <c r="F94" s="22"/>
      <c r="G94" s="22"/>
      <c r="H94" s="22"/>
    </row>
    <row r="95" spans="1:8" ht="14.85" customHeight="1">
      <c r="A95" s="22"/>
      <c r="B95" s="22"/>
      <c r="C95" s="22"/>
      <c r="D95" s="22"/>
      <c r="E95" s="22"/>
      <c r="F95" s="22"/>
      <c r="G95" s="22"/>
      <c r="H95" s="22"/>
    </row>
    <row r="96" spans="1:8" ht="14.85" customHeight="1">
      <c r="A96" s="22"/>
      <c r="B96" s="22"/>
      <c r="C96" s="22"/>
      <c r="D96" s="22"/>
      <c r="E96" s="22"/>
      <c r="F96" s="22"/>
      <c r="G96" s="22"/>
      <c r="H96" s="22"/>
    </row>
    <row r="97" spans="1:8" ht="14.85" customHeight="1">
      <c r="A97" s="22"/>
      <c r="B97" s="22"/>
      <c r="C97" s="22"/>
      <c r="D97" s="22"/>
      <c r="E97" s="22"/>
      <c r="F97" s="22"/>
      <c r="G97" s="22"/>
      <c r="H97" s="22"/>
    </row>
    <row r="98" spans="1:8">
      <c r="A98" s="22"/>
      <c r="B98" s="22"/>
      <c r="C98" s="22"/>
      <c r="D98" s="22"/>
      <c r="E98" s="22"/>
      <c r="F98" s="22"/>
      <c r="G98" s="22"/>
      <c r="H98" s="22"/>
    </row>
    <row r="99" spans="1:8">
      <c r="A99" s="22"/>
      <c r="B99" s="22"/>
      <c r="C99" s="22"/>
      <c r="D99" s="22"/>
      <c r="E99" s="22"/>
      <c r="F99" s="22"/>
      <c r="G99" s="22"/>
      <c r="H99" s="22"/>
    </row>
    <row r="100" spans="1:8">
      <c r="A100" s="22"/>
      <c r="B100" s="22"/>
      <c r="C100" s="22"/>
      <c r="D100" s="22"/>
      <c r="E100" s="22"/>
      <c r="F100" s="22"/>
      <c r="G100" s="22"/>
      <c r="H100" s="22"/>
    </row>
  </sheetData>
  <sheetProtection formatColumns="0" formatRows="0"/>
  <mergeCells count="16">
    <mergeCell ref="A51:H51"/>
    <mergeCell ref="F75:H75"/>
    <mergeCell ref="A76:A77"/>
    <mergeCell ref="B76:B77"/>
    <mergeCell ref="C76:C77"/>
    <mergeCell ref="D76:D77"/>
    <mergeCell ref="E76:E77"/>
    <mergeCell ref="F76:H77"/>
    <mergeCell ref="A1:H1"/>
    <mergeCell ref="F25:H25"/>
    <mergeCell ref="A26:A27"/>
    <mergeCell ref="B26:B27"/>
    <mergeCell ref="C26:C27"/>
    <mergeCell ref="D26:D27"/>
    <mergeCell ref="E26:E27"/>
    <mergeCell ref="F26:H27"/>
  </mergeCells>
  <printOptions horizontalCentered="1"/>
  <pageMargins left="0.25" right="0.25" top="0.75" bottom="0.75" header="0.3" footer="0.3"/>
  <pageSetup scale="91" orientation="portrait" r:id="rId1"/>
  <headerFooter scaleWithDoc="0">
    <oddFooter>Page &amp;P of &amp;N</oddFooter>
  </headerFooter>
  <rowBreaks count="1" manualBreakCount="1">
    <brk id="50" max="16383" man="1"/>
  </rowBreaks>
  <colBreaks count="1" manualBreakCount="1">
    <brk id="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29377" r:id="rId4" name="Button 1">
              <controlPr defaultSize="0" print="0" autoFill="0" autoPict="0" macro="[0]!InsertSatellite_Slot5">
                <anchor moveWithCells="1" sizeWithCells="1">
                  <from>
                    <xdr:col>8</xdr:col>
                    <xdr:colOff>419100</xdr:colOff>
                    <xdr:row>4</xdr:row>
                    <xdr:rowOff>175260</xdr:rowOff>
                  </from>
                  <to>
                    <xdr:col>10</xdr:col>
                    <xdr:colOff>83820</xdr:colOff>
                    <xdr:row>7</xdr:row>
                    <xdr:rowOff>175260</xdr:rowOff>
                  </to>
                </anchor>
              </controlPr>
            </control>
          </mc:Choice>
        </mc:AlternateContent>
        <mc:AlternateContent xmlns:mc="http://schemas.openxmlformats.org/markup-compatibility/2006">
          <mc:Choice Requires="x14">
            <control shapeId="229378" r:id="rId5" name="Button 2">
              <controlPr defaultSize="0" print="0" autoFill="0" autoPict="0" macro="[0]!PasteImage_Slot5">
                <anchor moveWithCells="1" sizeWithCells="1">
                  <from>
                    <xdr:col>10</xdr:col>
                    <xdr:colOff>830580</xdr:colOff>
                    <xdr:row>5</xdr:row>
                    <xdr:rowOff>0</xdr:rowOff>
                  </from>
                  <to>
                    <xdr:col>12</xdr:col>
                    <xdr:colOff>518160</xdr:colOff>
                    <xdr:row>8</xdr:row>
                    <xdr:rowOff>0</xdr:rowOff>
                  </to>
                </anchor>
              </controlPr>
            </control>
          </mc:Choice>
        </mc:AlternateContent>
        <mc:AlternateContent xmlns:mc="http://schemas.openxmlformats.org/markup-compatibility/2006">
          <mc:Choice Requires="x14">
            <control shapeId="229379" r:id="rId6" name="Button 3">
              <controlPr defaultSize="0" print="0" autoFill="0" autoPict="0" macro="[0]!PasteImage_Slot6">
                <anchor moveWithCells="1" sizeWithCells="1">
                  <from>
                    <xdr:col>8</xdr:col>
                    <xdr:colOff>411480</xdr:colOff>
                    <xdr:row>16</xdr:row>
                    <xdr:rowOff>22860</xdr:rowOff>
                  </from>
                  <to>
                    <xdr:col>10</xdr:col>
                    <xdr:colOff>83820</xdr:colOff>
                    <xdr:row>19</xdr:row>
                    <xdr:rowOff>22860</xdr:rowOff>
                  </to>
                </anchor>
              </controlPr>
            </control>
          </mc:Choice>
        </mc:AlternateContent>
        <mc:AlternateContent xmlns:mc="http://schemas.openxmlformats.org/markup-compatibility/2006">
          <mc:Choice Requires="x14">
            <control shapeId="229380" r:id="rId7" name="Button 4">
              <controlPr defaultSize="0" print="0" autoFill="0" autoPict="0" macro="[0]!PasteImage_Slot7">
                <anchor moveWithCells="1" sizeWithCells="1">
                  <from>
                    <xdr:col>8</xdr:col>
                    <xdr:colOff>411480</xdr:colOff>
                    <xdr:row>19</xdr:row>
                    <xdr:rowOff>38100</xdr:rowOff>
                  </from>
                  <to>
                    <xdr:col>10</xdr:col>
                    <xdr:colOff>83820</xdr:colOff>
                    <xdr:row>22</xdr:row>
                    <xdr:rowOff>38100</xdr:rowOff>
                  </to>
                </anchor>
              </controlPr>
            </control>
          </mc:Choice>
        </mc:AlternateContent>
        <mc:AlternateContent xmlns:mc="http://schemas.openxmlformats.org/markup-compatibility/2006">
          <mc:Choice Requires="x14">
            <control shapeId="229381" r:id="rId8" name="Button 5">
              <controlPr defaultSize="0" print="0" autoFill="0" autoPict="0" macro="[0]!land_comp_map">
                <anchor moveWithCells="1" sizeWithCells="1">
                  <from>
                    <xdr:col>8</xdr:col>
                    <xdr:colOff>411480</xdr:colOff>
                    <xdr:row>8</xdr:row>
                    <xdr:rowOff>7620</xdr:rowOff>
                  </from>
                  <to>
                    <xdr:col>10</xdr:col>
                    <xdr:colOff>83820</xdr:colOff>
                    <xdr:row>11</xdr:row>
                    <xdr:rowOff>7620</xdr:rowOff>
                  </to>
                </anchor>
              </controlPr>
            </control>
          </mc:Choice>
        </mc:AlternateContent>
        <mc:AlternateContent xmlns:mc="http://schemas.openxmlformats.org/markup-compatibility/2006">
          <mc:Choice Requires="x14">
            <control shapeId="229382" r:id="rId9" name="Button 6">
              <controlPr defaultSize="0" print="0" autoFill="0" autoPict="0" macro="[0]!landsub_googappeal">
                <anchor moveWithCells="1" sizeWithCells="1">
                  <from>
                    <xdr:col>8</xdr:col>
                    <xdr:colOff>419100</xdr:colOff>
                    <xdr:row>1</xdr:row>
                    <xdr:rowOff>175260</xdr:rowOff>
                  </from>
                  <to>
                    <xdr:col>10</xdr:col>
                    <xdr:colOff>83820</xdr:colOff>
                    <xdr:row>4</xdr:row>
                    <xdr:rowOff>175260</xdr:rowOff>
                  </to>
                </anchor>
              </controlPr>
            </control>
          </mc:Choice>
        </mc:AlternateContent>
        <mc:AlternateContent xmlns:mc="http://schemas.openxmlformats.org/markup-compatibility/2006">
          <mc:Choice Requires="x14">
            <control shapeId="229383" r:id="rId10" name="Button 7">
              <controlPr defaultSize="0" print="0" autoFill="0" autoPict="0" macro="[0]!land_sub_map">
                <anchor moveWithCells="1" sizeWithCells="1">
                  <from>
                    <xdr:col>8</xdr:col>
                    <xdr:colOff>411480</xdr:colOff>
                    <xdr:row>22</xdr:row>
                    <xdr:rowOff>45720</xdr:rowOff>
                  </from>
                  <to>
                    <xdr:col>10</xdr:col>
                    <xdr:colOff>83820</xdr:colOff>
                    <xdr:row>25</xdr:row>
                    <xdr:rowOff>45720</xdr:rowOff>
                  </to>
                </anchor>
              </controlPr>
            </control>
          </mc:Choice>
        </mc:AlternateContent>
        <mc:AlternateContent xmlns:mc="http://schemas.openxmlformats.org/markup-compatibility/2006">
          <mc:Choice Requires="x14">
            <control shapeId="229384" r:id="rId11" name="Button 8">
              <controlPr defaultSize="0" print="0" autoFill="0" autoPict="0" macro="[0]!TogglePrintArea_A1H50_A1H100">
                <anchor moveWithCells="1" sizeWithCells="1">
                  <from>
                    <xdr:col>8</xdr:col>
                    <xdr:colOff>411480</xdr:colOff>
                    <xdr:row>13</xdr:row>
                    <xdr:rowOff>7620</xdr:rowOff>
                  </from>
                  <to>
                    <xdr:col>10</xdr:col>
                    <xdr:colOff>83820</xdr:colOff>
                    <xdr:row>16</xdr:row>
                    <xdr:rowOff>7620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BCDDA-C099-4A0D-9226-683E8CF468D9}">
  <sheetPr codeName="Sheet53">
    <tabColor rgb="FF7030A0"/>
  </sheetPr>
  <dimension ref="A1:R49"/>
  <sheetViews>
    <sheetView showZeros="0" view="pageLayout" zoomScaleNormal="115" zoomScaleSheetLayoutView="145" workbookViewId="0"/>
  </sheetViews>
  <sheetFormatPr defaultColWidth="9.109375" defaultRowHeight="13.8"/>
  <cols>
    <col min="1" max="5" width="9.109375" style="24"/>
    <col min="6" max="6" width="14.6640625" style="24" customWidth="1"/>
    <col min="7" max="7" width="9.109375" style="24"/>
    <col min="8" max="8" width="15.6640625" style="24" bestFit="1" customWidth="1"/>
    <col min="9" max="9" width="18.44140625" style="24" customWidth="1"/>
    <col min="10" max="12" width="9.109375" style="24"/>
    <col min="13" max="13" width="8.88671875" style="24" customWidth="1"/>
    <col min="14" max="16384" width="9.109375" style="24"/>
  </cols>
  <sheetData>
    <row r="1" spans="1:18" ht="14.4">
      <c r="A1" s="271">
        <v>0</v>
      </c>
      <c r="B1" s="21"/>
      <c r="C1" s="21"/>
      <c r="D1" s="21"/>
      <c r="E1" s="21"/>
      <c r="F1" s="21"/>
      <c r="G1" s="21"/>
      <c r="H1" s="21"/>
      <c r="I1" s="21"/>
    </row>
    <row r="2" spans="1:18" s="56" customFormat="1" ht="20.85" customHeight="1">
      <c r="A2" s="870" t="s">
        <v>54</v>
      </c>
      <c r="B2" s="870"/>
      <c r="C2" s="870"/>
      <c r="D2" s="870"/>
      <c r="E2" s="870"/>
      <c r="F2" s="870"/>
      <c r="G2" s="870"/>
      <c r="H2" s="870"/>
      <c r="I2" s="870"/>
      <c r="J2" s="57"/>
      <c r="K2" s="57"/>
      <c r="L2" s="57"/>
      <c r="M2" s="57"/>
    </row>
    <row r="3" spans="1:18" ht="14.4">
      <c r="A3" s="21"/>
      <c r="B3" s="21"/>
      <c r="C3" s="21"/>
      <c r="D3" s="21"/>
      <c r="E3" s="21"/>
      <c r="F3" s="21"/>
      <c r="G3" s="21"/>
      <c r="H3" s="21"/>
      <c r="I3" s="21"/>
    </row>
    <row r="4" spans="1:18" ht="18">
      <c r="A4" s="336" t="s">
        <v>53</v>
      </c>
      <c r="B4" s="21"/>
      <c r="C4" s="21"/>
      <c r="D4" s="21"/>
      <c r="E4" s="21"/>
      <c r="F4" s="21"/>
      <c r="G4" s="21"/>
      <c r="H4" s="21"/>
      <c r="I4" s="21"/>
    </row>
    <row r="5" spans="1:18" ht="18">
      <c r="A5" s="327"/>
      <c r="B5" s="21"/>
      <c r="C5" s="21"/>
      <c r="D5" s="21"/>
      <c r="E5" s="21"/>
      <c r="F5" s="21"/>
      <c r="G5" s="21"/>
      <c r="H5" s="21"/>
      <c r="I5" s="21"/>
    </row>
    <row r="6" spans="1:18" ht="16.5" customHeight="1">
      <c r="A6" s="877" t="str">
        <f>CONCATENATE("This is a ", IF(INPUT!M2=TRUE,"Proposition 8",""),IF(INPUT!M3=TRUE,"base year value",""), " appeal contesting the roll value for the ", TEXT(INPUT!D3,""), " tax assessment year. The effective date of this appraisal is ", TEXT(INPUT!B5,"mmmm, dd, yyyy"), ". As required by Section 1 of Article XIII of the California Constitution, Revenue and Taxation sections 110 and 110.1, and Property Tax Rule 2, the interest being appraised is fee simple, unencumbered.")</f>
        <v>This is a  appeal contesting the roll value for the 2026/2027 tax assessment year. The effective date of this appraisal is January, 09, 2026. As required by Section 1 of Article XIII of the California Constitution, Revenue and Taxation sections 110 and 110.1, and Property Tax Rule 2, the interest being appraised is fee simple, unencumbered.</v>
      </c>
      <c r="B6" s="877"/>
      <c r="C6" s="877"/>
      <c r="D6" s="877"/>
      <c r="E6" s="877"/>
      <c r="F6" s="877"/>
      <c r="G6" s="877"/>
      <c r="H6" s="877"/>
      <c r="I6" s="877"/>
      <c r="J6" s="54"/>
      <c r="K6" s="54"/>
      <c r="L6" s="54"/>
      <c r="M6" s="54"/>
    </row>
    <row r="7" spans="1:18">
      <c r="A7" s="877"/>
      <c r="B7" s="877"/>
      <c r="C7" s="877"/>
      <c r="D7" s="877"/>
      <c r="E7" s="877"/>
      <c r="F7" s="877"/>
      <c r="G7" s="877"/>
      <c r="H7" s="877"/>
      <c r="I7" s="877"/>
      <c r="J7" s="54"/>
      <c r="K7" s="54"/>
      <c r="L7" s="54"/>
      <c r="M7" s="54"/>
    </row>
    <row r="8" spans="1:18">
      <c r="A8" s="877"/>
      <c r="B8" s="877"/>
      <c r="C8" s="877"/>
      <c r="D8" s="877"/>
      <c r="E8" s="877"/>
      <c r="F8" s="877"/>
      <c r="G8" s="877"/>
      <c r="H8" s="877"/>
      <c r="I8" s="877"/>
      <c r="J8" s="54"/>
      <c r="K8" s="54"/>
      <c r="L8" s="54"/>
      <c r="M8" s="54"/>
    </row>
    <row r="9" spans="1:18" ht="18">
      <c r="A9" s="336" t="s">
        <v>52</v>
      </c>
      <c r="B9" s="21"/>
      <c r="C9" s="21"/>
      <c r="D9" s="21"/>
      <c r="E9" s="21"/>
      <c r="F9" s="21"/>
      <c r="G9" s="21"/>
      <c r="H9" s="21"/>
      <c r="I9" s="21"/>
      <c r="J9" s="55"/>
      <c r="K9" s="55"/>
      <c r="L9" s="55"/>
      <c r="M9" s="55"/>
      <c r="N9" s="55"/>
      <c r="O9" s="55"/>
      <c r="P9" s="55"/>
      <c r="Q9" s="55"/>
      <c r="R9" s="55"/>
    </row>
    <row r="10" spans="1:18" ht="18">
      <c r="A10" s="327"/>
      <c r="B10" s="21"/>
      <c r="C10" s="21"/>
      <c r="D10" s="21"/>
      <c r="E10" s="21"/>
      <c r="F10" s="21"/>
      <c r="G10" s="21"/>
      <c r="H10" s="21"/>
      <c r="I10" s="21"/>
      <c r="J10" s="55"/>
      <c r="K10" s="55"/>
      <c r="L10" s="55"/>
      <c r="M10" s="55"/>
      <c r="N10" s="55"/>
      <c r="O10" s="55"/>
      <c r="P10" s="55"/>
      <c r="Q10" s="55"/>
      <c r="R10" s="55"/>
    </row>
    <row r="11" spans="1:18" ht="16.5" customHeight="1">
      <c r="A11" s="869" t="str">
        <f>_xlfn.CONCAT(
    "The subject property is ",
    IF(INPUT!B38=1,
       TEXT(INPUT!B38,"0.00"),
       TEXT(INPUT!B38,"0.##")
    ),
    IF(INPUT!B38=1," acre of "," acres of "),
    LOWER(INPUT!B33),
    " ",
    IF(
        INPUT!B31&lt;&gt;"",
        "located at " &amp; PROPER(INPUT!B31),
        IF(
            INPUT!B43&lt;&gt;"",
            "located near the intersection of " &amp; PROPER(INPUT!B43),
            "located in " &amp; PROPER(INPUT!B32)
        )
    ),
    " in ",
    PROPER(INPUT!B32),
    ", CA.",
    " The subject is comprised of ",
    IF(
        INPUT!B42=1,
        "a single parcel",
        INPUT!B42 &amp; " parcels"
    ),
    " and has ",
    INPUT!B39,
    " zoning."
)</f>
        <v>The subject property is 0.68 acres of light industrial located at 1215 Graphite Dr in Corona, CA. The subject is comprised of a single parcel and has M4 zoning.</v>
      </c>
      <c r="B11" s="869"/>
      <c r="C11" s="869"/>
      <c r="D11" s="869"/>
      <c r="E11" s="869"/>
      <c r="F11" s="869"/>
      <c r="G11" s="869"/>
      <c r="H11" s="869"/>
      <c r="I11" s="869"/>
      <c r="J11" s="54"/>
      <c r="K11" s="54"/>
      <c r="L11" s="54"/>
      <c r="M11" s="54"/>
      <c r="N11" s="55"/>
      <c r="O11" s="55"/>
      <c r="P11" s="55"/>
      <c r="Q11" s="55"/>
      <c r="R11" s="55"/>
    </row>
    <row r="12" spans="1:18">
      <c r="A12" s="869"/>
      <c r="B12" s="869"/>
      <c r="C12" s="869"/>
      <c r="D12" s="869"/>
      <c r="E12" s="869"/>
      <c r="F12" s="869"/>
      <c r="G12" s="869"/>
      <c r="H12" s="869"/>
      <c r="I12" s="869"/>
      <c r="J12" s="54"/>
      <c r="K12" s="54"/>
      <c r="L12" s="54"/>
      <c r="M12" s="54"/>
      <c r="N12" s="55"/>
      <c r="O12" s="55"/>
      <c r="P12" s="55"/>
      <c r="Q12" s="55"/>
      <c r="R12" s="55"/>
    </row>
    <row r="13" spans="1:18" ht="18">
      <c r="A13" s="336" t="s">
        <v>51</v>
      </c>
      <c r="B13" s="21"/>
      <c r="C13" s="21"/>
      <c r="D13" s="21"/>
      <c r="E13" s="21"/>
      <c r="F13" s="21"/>
      <c r="G13" s="21"/>
      <c r="H13" s="21"/>
      <c r="I13" s="21"/>
      <c r="J13" s="55"/>
      <c r="K13" s="55"/>
      <c r="L13" s="55"/>
      <c r="M13" s="55"/>
      <c r="N13" s="55"/>
      <c r="O13" s="55"/>
      <c r="P13" s="55"/>
      <c r="Q13" s="55"/>
      <c r="R13" s="55"/>
    </row>
    <row r="14" spans="1:18">
      <c r="A14" s="337"/>
      <c r="B14" s="337"/>
      <c r="C14" s="337"/>
      <c r="D14" s="337"/>
      <c r="E14" s="337"/>
      <c r="F14" s="337"/>
      <c r="G14" s="337"/>
      <c r="H14" s="337"/>
      <c r="I14" s="337"/>
      <c r="J14" s="54"/>
      <c r="K14" s="54"/>
      <c r="L14" s="54"/>
      <c r="M14" s="54"/>
      <c r="N14" s="55"/>
      <c r="O14" s="55"/>
      <c r="P14" s="55"/>
      <c r="Q14" s="55"/>
      <c r="R14" s="55"/>
    </row>
    <row r="15" spans="1:18" ht="16.5" customHeight="1">
      <c r="A15" s="869" t="s">
        <v>289</v>
      </c>
      <c r="B15" s="869"/>
      <c r="C15" s="869"/>
      <c r="D15" s="869"/>
      <c r="E15" s="869"/>
      <c r="F15" s="869"/>
      <c r="G15" s="869"/>
      <c r="H15" s="869"/>
      <c r="I15" s="869"/>
      <c r="J15" s="54"/>
      <c r="K15" s="54"/>
      <c r="L15" s="54"/>
      <c r="M15" s="54"/>
    </row>
    <row r="16" spans="1:18">
      <c r="A16" s="869"/>
      <c r="B16" s="869"/>
      <c r="C16" s="869"/>
      <c r="D16" s="869"/>
      <c r="E16" s="869"/>
      <c r="F16" s="869"/>
      <c r="G16" s="869"/>
      <c r="H16" s="869"/>
      <c r="I16" s="869"/>
      <c r="J16" s="54"/>
      <c r="K16" s="54"/>
      <c r="L16" s="54"/>
      <c r="M16" s="54"/>
    </row>
    <row r="17" spans="1:13">
      <c r="A17" s="869"/>
      <c r="B17" s="869"/>
      <c r="C17" s="869"/>
      <c r="D17" s="869"/>
      <c r="E17" s="869"/>
      <c r="F17" s="869"/>
      <c r="G17" s="869"/>
      <c r="H17" s="869"/>
      <c r="I17" s="869"/>
      <c r="J17" s="54"/>
      <c r="K17" s="54"/>
      <c r="L17" s="54"/>
      <c r="M17" s="54"/>
    </row>
    <row r="18" spans="1:13" ht="5.25" customHeight="1">
      <c r="A18" s="869"/>
      <c r="B18" s="869"/>
      <c r="C18" s="869"/>
      <c r="D18" s="869"/>
      <c r="E18" s="869"/>
      <c r="F18" s="869"/>
      <c r="G18" s="869"/>
      <c r="H18" s="869"/>
      <c r="I18" s="869"/>
      <c r="J18" s="54"/>
      <c r="K18" s="54"/>
      <c r="L18" s="54"/>
      <c r="M18" s="54"/>
    </row>
    <row r="19" spans="1:13" ht="33" customHeight="1">
      <c r="A19" s="869"/>
      <c r="B19" s="869"/>
      <c r="C19" s="869"/>
      <c r="D19" s="869"/>
      <c r="E19" s="869"/>
      <c r="F19" s="869"/>
      <c r="G19" s="869"/>
      <c r="H19" s="869"/>
      <c r="I19" s="869"/>
      <c r="J19" s="54"/>
      <c r="K19" s="54"/>
      <c r="L19" s="54"/>
      <c r="M19" s="54"/>
    </row>
    <row r="20" spans="1:13" ht="14.4">
      <c r="A20" s="21"/>
      <c r="B20" s="21"/>
      <c r="C20" s="21"/>
      <c r="D20" s="21"/>
      <c r="E20" s="139"/>
      <c r="F20" s="21"/>
      <c r="G20" s="21"/>
      <c r="H20" s="21"/>
      <c r="I20" s="21"/>
    </row>
    <row r="21" spans="1:13" ht="18">
      <c r="A21" s="874" t="s">
        <v>50</v>
      </c>
      <c r="B21" s="875"/>
      <c r="C21" s="21"/>
      <c r="D21" s="21"/>
      <c r="E21" s="21"/>
      <c r="F21" s="21"/>
      <c r="G21" s="21"/>
      <c r="H21" s="21"/>
      <c r="I21" s="21"/>
    </row>
    <row r="22" spans="1:13" ht="18">
      <c r="A22" s="341"/>
      <c r="B22" s="342"/>
      <c r="C22" s="21"/>
      <c r="D22" s="21"/>
      <c r="E22" s="21"/>
      <c r="F22" s="21"/>
      <c r="G22" s="21"/>
      <c r="H22" s="21"/>
      <c r="I22" s="21"/>
    </row>
    <row r="23" spans="1:13" ht="16.5" customHeight="1">
      <c r="A23" s="869" t="str">
        <f>_xlfn.CONCAT(
    "The Assessor's Office has determined that the Sales Comparison Approach to valuation yields an accurate estimate of market value for the subject property as of the given effective date.",
    IF(
        INPUT!B27 &lt; INPUT!B25,
        " Therefore, the Assessor's Office recommends the enrolled value be reduced to the value stated below.",
        " Therefore, the Assessor's Office does not recommend a value reduction."
    )
)</f>
        <v>The Assessor's Office has determined that the Sales Comparison Approach to valuation yields an accurate estimate of market value for the subject property as of the given effective date. Therefore, the Assessor's Office does not recommend a value reduction.</v>
      </c>
      <c r="B23" s="869"/>
      <c r="C23" s="869"/>
      <c r="D23" s="869"/>
      <c r="E23" s="869"/>
      <c r="F23" s="869"/>
      <c r="G23" s="869"/>
      <c r="H23" s="869"/>
      <c r="I23" s="869"/>
      <c r="J23" s="54"/>
      <c r="K23" s="54"/>
      <c r="L23" s="54"/>
      <c r="M23" s="54"/>
    </row>
    <row r="24" spans="1:13">
      <c r="A24" s="869"/>
      <c r="B24" s="869"/>
      <c r="C24" s="869"/>
      <c r="D24" s="869"/>
      <c r="E24" s="869"/>
      <c r="F24" s="869"/>
      <c r="G24" s="869"/>
      <c r="H24" s="869"/>
      <c r="I24" s="869"/>
      <c r="J24" s="54"/>
      <c r="K24" s="54"/>
      <c r="L24" s="54"/>
      <c r="M24" s="54"/>
    </row>
    <row r="25" spans="1:13" ht="7.5" customHeight="1">
      <c r="A25" s="869"/>
      <c r="B25" s="869"/>
      <c r="C25" s="869"/>
      <c r="D25" s="869"/>
      <c r="E25" s="869"/>
      <c r="F25" s="869"/>
      <c r="G25" s="869"/>
      <c r="H25" s="869"/>
      <c r="I25" s="869"/>
      <c r="J25" s="54"/>
      <c r="K25" s="54"/>
      <c r="L25" s="54"/>
      <c r="M25" s="54"/>
    </row>
    <row r="26" spans="1:13" ht="29.25" customHeight="1">
      <c r="A26" s="337"/>
      <c r="B26" s="337"/>
      <c r="C26" s="337"/>
      <c r="D26" s="337"/>
      <c r="E26" s="337"/>
      <c r="F26" s="337"/>
      <c r="G26" s="337"/>
      <c r="H26" s="337"/>
      <c r="I26" s="337"/>
      <c r="J26" s="54"/>
      <c r="K26" s="54"/>
      <c r="L26" s="54"/>
      <c r="M26" s="54"/>
    </row>
    <row r="27" spans="1:13" ht="29.25" customHeight="1">
      <c r="A27" s="337"/>
      <c r="B27" s="337"/>
      <c r="C27" s="337"/>
      <c r="D27" s="337"/>
      <c r="E27" s="337"/>
      <c r="F27" s="337"/>
      <c r="G27" s="337"/>
      <c r="H27" s="337"/>
      <c r="I27" s="337"/>
      <c r="J27" s="54"/>
      <c r="K27" s="54"/>
      <c r="L27" s="54"/>
      <c r="M27" s="54"/>
    </row>
    <row r="28" spans="1:13" ht="30" customHeight="1">
      <c r="A28" s="337"/>
      <c r="B28" s="337"/>
      <c r="C28" s="337"/>
      <c r="D28" s="337"/>
      <c r="E28" s="337"/>
      <c r="F28" s="337"/>
      <c r="G28" s="337"/>
      <c r="H28" s="337"/>
      <c r="I28" s="337"/>
      <c r="J28" s="54"/>
      <c r="K28" s="54"/>
      <c r="L28" s="54"/>
      <c r="M28" s="54"/>
    </row>
    <row r="29" spans="1:13" ht="26.25" customHeight="1">
      <c r="A29" s="870" t="str">
        <f>CONCATENATE("ROLL VALUE = ",TEXT(INPUT!B25,"$#,###"))</f>
        <v>ROLL VALUE = $</v>
      </c>
      <c r="B29" s="870"/>
      <c r="C29" s="870"/>
      <c r="D29" s="870"/>
      <c r="E29" s="870"/>
      <c r="F29" s="870"/>
      <c r="G29" s="870"/>
      <c r="H29" s="870"/>
      <c r="I29" s="870"/>
      <c r="J29" s="53"/>
      <c r="K29" s="53"/>
      <c r="L29" s="53"/>
      <c r="M29" s="53"/>
    </row>
    <row r="30" spans="1:13" ht="26.25" customHeight="1">
      <c r="A30" s="870" t="str">
        <f>CONCATENATE("APPLICANT'S OPINION OF VALUE (per application) = ", TEXT(INPUT!B26,"$#,###"))</f>
        <v>APPLICANT'S OPINION OF VALUE (per application) = $3,928,960</v>
      </c>
      <c r="B30" s="870"/>
      <c r="C30" s="870"/>
      <c r="D30" s="870"/>
      <c r="E30" s="870"/>
      <c r="F30" s="870"/>
      <c r="G30" s="870"/>
      <c r="H30" s="870"/>
      <c r="I30" s="870"/>
      <c r="J30" s="53"/>
      <c r="K30" s="53"/>
      <c r="L30" s="53"/>
      <c r="M30" s="53"/>
    </row>
    <row r="31" spans="1:13" ht="26.25" customHeight="1">
      <c r="A31" s="870" t="str">
        <f>CONCATENATE("ASSESSOR'S RECOMMENDED VALUE = ", TEXT(INPUT!B27,"$#,###"))</f>
        <v>ASSESSOR'S RECOMMENDED VALUE = $</v>
      </c>
      <c r="B31" s="870"/>
      <c r="C31" s="870"/>
      <c r="D31" s="870"/>
      <c r="E31" s="870"/>
      <c r="F31" s="870"/>
      <c r="G31" s="870"/>
      <c r="H31" s="870"/>
      <c r="I31" s="870"/>
      <c r="J31" s="53"/>
      <c r="K31" s="53"/>
      <c r="L31" s="53"/>
      <c r="M31" s="53"/>
    </row>
    <row r="32" spans="1:13" ht="14.4">
      <c r="A32" s="21"/>
      <c r="B32" s="21"/>
      <c r="C32" s="21"/>
      <c r="D32" s="21"/>
      <c r="E32" s="21"/>
      <c r="F32" s="21"/>
      <c r="G32" s="21"/>
      <c r="H32" s="21"/>
      <c r="I32" s="21"/>
    </row>
    <row r="33" spans="1:14" ht="15" customHeight="1">
      <c r="A33" s="52" t="str">
        <f>CONCATENATE("Submitted by: ",TEXT(INPUT!B6,""), " - Appraiser")</f>
        <v>Submitted by: Kyle Edmonds - Appraiser</v>
      </c>
      <c r="B33" s="231"/>
      <c r="C33" s="231"/>
      <c r="D33" s="231"/>
      <c r="E33" s="232"/>
      <c r="F33" s="232"/>
      <c r="G33" s="21"/>
      <c r="H33" s="21"/>
      <c r="I33" s="21"/>
      <c r="J33" s="139"/>
      <c r="K33" s="139"/>
      <c r="L33" s="139"/>
      <c r="M33" s="139"/>
      <c r="N33" s="139"/>
    </row>
    <row r="34" spans="1:14" ht="12.75" customHeight="1">
      <c r="A34" s="52" t="s">
        <v>158</v>
      </c>
      <c r="B34" s="231"/>
      <c r="C34" s="231"/>
      <c r="D34" s="231"/>
      <c r="E34" s="232"/>
      <c r="F34" s="21"/>
      <c r="G34" s="21"/>
      <c r="H34" s="21"/>
      <c r="I34" s="21"/>
      <c r="J34" s="139"/>
      <c r="K34" s="139"/>
      <c r="L34" s="139"/>
      <c r="M34" s="139"/>
      <c r="N34" s="139"/>
    </row>
    <row r="35" spans="1:14" ht="14.4">
      <c r="A35"/>
      <c r="B35"/>
      <c r="C35"/>
      <c r="D35"/>
      <c r="E35"/>
      <c r="F35"/>
      <c r="G35"/>
      <c r="H35"/>
      <c r="I35"/>
    </row>
    <row r="36" spans="1:14" ht="14.4">
      <c r="A36"/>
      <c r="B36"/>
      <c r="C36"/>
      <c r="D36"/>
      <c r="E36"/>
      <c r="F36"/>
      <c r="G36"/>
      <c r="H36"/>
      <c r="I36"/>
    </row>
    <row r="37" spans="1:14" ht="14.4">
      <c r="A37"/>
      <c r="B37"/>
      <c r="C37"/>
      <c r="D37"/>
      <c r="E37"/>
      <c r="F37"/>
      <c r="G37"/>
      <c r="H37"/>
      <c r="I37"/>
    </row>
    <row r="38" spans="1:14" ht="14.4">
      <c r="A38"/>
      <c r="B38"/>
      <c r="C38"/>
      <c r="D38"/>
      <c r="E38"/>
      <c r="F38"/>
      <c r="G38"/>
      <c r="H38"/>
      <c r="I38"/>
    </row>
    <row r="39" spans="1:14" ht="14.4">
      <c r="A39"/>
      <c r="B39"/>
      <c r="C39"/>
      <c r="D39"/>
      <c r="E39"/>
      <c r="F39"/>
      <c r="G39"/>
      <c r="H39"/>
      <c r="I39"/>
    </row>
    <row r="40" spans="1:14" ht="14.4">
      <c r="A40"/>
      <c r="B40"/>
      <c r="C40"/>
      <c r="D40"/>
      <c r="E40"/>
      <c r="F40"/>
      <c r="G40"/>
      <c r="H40"/>
      <c r="I40"/>
    </row>
    <row r="41" spans="1:14" ht="14.4">
      <c r="A41"/>
      <c r="B41"/>
      <c r="C41"/>
      <c r="D41"/>
      <c r="E41"/>
      <c r="F41"/>
      <c r="G41"/>
      <c r="H41"/>
      <c r="I41"/>
    </row>
    <row r="42" spans="1:14" ht="14.4">
      <c r="A42"/>
      <c r="B42"/>
      <c r="C42"/>
      <c r="D42"/>
      <c r="E42"/>
      <c r="F42" s="1"/>
      <c r="G42"/>
      <c r="H42"/>
      <c r="I42"/>
    </row>
    <row r="43" spans="1:14" ht="14.4">
      <c r="A43"/>
      <c r="B43"/>
      <c r="C43"/>
      <c r="D43"/>
      <c r="E43"/>
      <c r="F43"/>
      <c r="G43"/>
      <c r="H43"/>
      <c r="I43"/>
    </row>
    <row r="44" spans="1:14" ht="14.4">
      <c r="A44"/>
      <c r="B44"/>
      <c r="C44"/>
      <c r="D44"/>
      <c r="E44"/>
      <c r="F44"/>
      <c r="G44"/>
      <c r="H44"/>
      <c r="I44"/>
    </row>
    <row r="45" spans="1:14" ht="14.4">
      <c r="A45"/>
      <c r="B45"/>
      <c r="C45"/>
      <c r="D45"/>
      <c r="E45"/>
      <c r="F45"/>
      <c r="G45"/>
      <c r="H45"/>
      <c r="I45"/>
    </row>
    <row r="46" spans="1:14" ht="14.4">
      <c r="A46"/>
      <c r="B46"/>
      <c r="C46"/>
      <c r="D46"/>
      <c r="E46"/>
      <c r="F46"/>
      <c r="G46"/>
      <c r="H46"/>
      <c r="I46"/>
    </row>
    <row r="47" spans="1:14" ht="14.4">
      <c r="A47"/>
      <c r="B47"/>
      <c r="C47"/>
      <c r="D47"/>
      <c r="E47"/>
      <c r="F47"/>
      <c r="G47"/>
      <c r="H47"/>
      <c r="I47"/>
    </row>
    <row r="48" spans="1:14" ht="14.4">
      <c r="A48"/>
      <c r="B48"/>
      <c r="C48"/>
      <c r="D48"/>
      <c r="E48"/>
      <c r="F48"/>
      <c r="G48"/>
      <c r="H48"/>
      <c r="I48"/>
    </row>
    <row r="49" spans="1:9" ht="14.4">
      <c r="A49"/>
      <c r="B49"/>
      <c r="C49"/>
      <c r="D49"/>
      <c r="E49"/>
      <c r="F49"/>
      <c r="G49"/>
      <c r="H49"/>
      <c r="I49"/>
    </row>
  </sheetData>
  <sheetProtection formatColumns="0" formatRows="0" insertColumns="0" insertRows="0"/>
  <mergeCells count="9">
    <mergeCell ref="A29:I29"/>
    <mergeCell ref="A30:I30"/>
    <mergeCell ref="A31:I31"/>
    <mergeCell ref="A2:I2"/>
    <mergeCell ref="A6:I8"/>
    <mergeCell ref="A11:I12"/>
    <mergeCell ref="A15:I19"/>
    <mergeCell ref="A21:B21"/>
    <mergeCell ref="A23:I25"/>
  </mergeCells>
  <printOptions horizontalCentered="1"/>
  <pageMargins left="0.7" right="0.7" top="0.75" bottom="0.75" header="0.3" footer="0.3"/>
  <pageSetup scale="87" orientation="portrait" r:id="rId1"/>
  <headerFooter>
    <oddFooter>&amp;CPage &amp;P</oddFooter>
  </headerFooter>
  <rowBreaks count="1" manualBreakCount="1">
    <brk id="34" max="16383" man="1"/>
  </rowBreak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CE1EC-EA5F-4621-9D58-31287046292D}">
  <sheetPr codeName="Sheet44">
    <tabColor theme="9" tint="-0.249977111117893"/>
  </sheetPr>
  <dimension ref="A1:R50"/>
  <sheetViews>
    <sheetView showZeros="0" view="pageBreakPreview" topLeftCell="A3" zoomScale="160" zoomScaleNormal="85" zoomScaleSheetLayoutView="160" zoomScalePageLayoutView="85" workbookViewId="0">
      <selection activeCell="H26" sqref="H26:J26"/>
    </sheetView>
  </sheetViews>
  <sheetFormatPr defaultColWidth="9.109375" defaultRowHeight="13.8"/>
  <cols>
    <col min="1" max="5" width="9.109375" style="24"/>
    <col min="6" max="6" width="14.6640625" style="24" customWidth="1"/>
    <col min="7" max="7" width="9.109375" style="24"/>
    <col min="8" max="8" width="15.6640625" style="24" bestFit="1" customWidth="1"/>
    <col min="9" max="9" width="18.44140625" style="24" customWidth="1"/>
    <col min="10" max="12" width="9.109375" style="24"/>
    <col min="13" max="13" width="8.88671875" style="24" customWidth="1"/>
    <col min="14" max="16384" width="9.109375" style="24"/>
  </cols>
  <sheetData>
    <row r="1" spans="1:18" ht="14.4">
      <c r="A1" s="271">
        <v>0</v>
      </c>
      <c r="B1" s="21"/>
      <c r="C1" s="21"/>
      <c r="D1" s="21"/>
      <c r="E1" s="21"/>
      <c r="F1" s="21"/>
      <c r="G1" s="21"/>
      <c r="H1" s="21"/>
      <c r="I1" s="21"/>
    </row>
    <row r="2" spans="1:18" s="56" customFormat="1" ht="20.85" customHeight="1">
      <c r="A2" s="870" t="s">
        <v>54</v>
      </c>
      <c r="B2" s="870"/>
      <c r="C2" s="870"/>
      <c r="D2" s="870"/>
      <c r="E2" s="870"/>
      <c r="F2" s="870"/>
      <c r="G2" s="870"/>
      <c r="H2" s="870"/>
      <c r="I2" s="870"/>
      <c r="J2" s="57"/>
      <c r="K2" s="57"/>
      <c r="L2" s="57"/>
      <c r="M2" s="57"/>
    </row>
    <row r="3" spans="1:18" ht="14.4">
      <c r="A3" s="21"/>
      <c r="B3" s="21"/>
      <c r="C3" s="21"/>
      <c r="D3" s="21"/>
      <c r="E3" s="21"/>
      <c r="F3" s="21"/>
      <c r="G3" s="21"/>
      <c r="H3" s="21"/>
      <c r="I3" s="21"/>
    </row>
    <row r="4" spans="1:18" ht="18">
      <c r="A4" s="336" t="s">
        <v>53</v>
      </c>
      <c r="B4" s="21"/>
      <c r="C4" s="21"/>
      <c r="D4" s="21"/>
      <c r="E4" s="21"/>
      <c r="F4" s="21"/>
      <c r="G4" s="21"/>
      <c r="H4" s="21"/>
      <c r="I4" s="21"/>
    </row>
    <row r="5" spans="1:18" ht="16.5" customHeight="1">
      <c r="A5" s="869" t="str">
        <f>CONCATENATE("This is a ", IF(INPUT!M2=TRUE,"Proposition 8",""),IF(INPUT!M3=TRUE,"base year",""), " appeal contesting the roll value for the ", TEXT(INPUT!D3,""), " tax assessment year. The effective date of this appraisal is ", TEXT(INPUT!B5,"mmmm, dd, yyyy"), ". As required by Section 1 of Article XIII of the California Constitution, Revenue and Taxation sections 110 and 110.1, and Property Tax Rule 2, the interest being appraised is fee simple, unencumbered.")</f>
        <v>This is a  appeal contesting the roll value for the 2026/2027 tax assessment year. The effective date of this appraisal is January, 09, 2026. As required by Section 1 of Article XIII of the California Constitution, Revenue and Taxation sections 110 and 110.1, and Property Tax Rule 2, the interest being appraised is fee simple, unencumbered.</v>
      </c>
      <c r="B5" s="869"/>
      <c r="C5" s="869"/>
      <c r="D5" s="869"/>
      <c r="E5" s="869"/>
      <c r="F5" s="869"/>
      <c r="G5" s="869"/>
      <c r="H5" s="869"/>
      <c r="I5" s="869"/>
      <c r="J5" s="54"/>
      <c r="K5" s="54"/>
      <c r="L5" s="54"/>
      <c r="M5" s="54"/>
    </row>
    <row r="6" spans="1:18">
      <c r="A6" s="869"/>
      <c r="B6" s="869"/>
      <c r="C6" s="869"/>
      <c r="D6" s="869"/>
      <c r="E6" s="869"/>
      <c r="F6" s="869"/>
      <c r="G6" s="869"/>
      <c r="H6" s="869"/>
      <c r="I6" s="869"/>
      <c r="J6" s="54"/>
      <c r="K6" s="54"/>
      <c r="L6" s="54"/>
      <c r="M6" s="54"/>
    </row>
    <row r="7" spans="1:18">
      <c r="A7" s="869"/>
      <c r="B7" s="869"/>
      <c r="C7" s="869"/>
      <c r="D7" s="869"/>
      <c r="E7" s="869"/>
      <c r="F7" s="869"/>
      <c r="G7" s="869"/>
      <c r="H7" s="869"/>
      <c r="I7" s="869"/>
      <c r="J7" s="54"/>
      <c r="K7" s="54"/>
      <c r="L7" s="54"/>
      <c r="M7" s="54"/>
    </row>
    <row r="8" spans="1:18" ht="18">
      <c r="A8" s="336" t="s">
        <v>52</v>
      </c>
      <c r="B8" s="21"/>
      <c r="C8" s="21"/>
      <c r="D8" s="21"/>
      <c r="E8" s="21"/>
      <c r="F8" s="21"/>
      <c r="G8" s="21"/>
      <c r="H8" s="21"/>
      <c r="I8" s="21"/>
      <c r="J8" s="55"/>
      <c r="K8" s="55"/>
      <c r="L8" s="55"/>
      <c r="M8" s="55"/>
      <c r="N8" s="55"/>
      <c r="O8" s="55"/>
      <c r="P8" s="55"/>
      <c r="Q8" s="55"/>
      <c r="R8" s="55"/>
    </row>
    <row r="9" spans="1:18" ht="16.5" customHeight="1">
      <c r="A9" s="869" t="str">
        <f>CONCATENATE("The subject property is a ",TEXT(INPUT!B34,"#,###,###")," sqft ",PROPER(TEXT(INPUT!B33,""))," building built in ",TEXT(INPUT!B36,"####")," that is located at ",PROPER(TEXT(INPUT!B31,""))," in ",PROPER(TEXT(INPUT!B32,"")),", CA. The nearest major intersection is ",PROPER(TEXT(INPUT!B43,"#.##")),". The subject property is in ",LOWER(TEXT(INPUT!B41,""))," condition.")</f>
        <v>The subject property is a 10,490 sqft Light Industrial building built in 2001 that is located at 1215 Graphite Dr in Corona, CA. The nearest major intersection is Graphite Dr &amp; California Ave. The subject property is in average condition.</v>
      </c>
      <c r="B9" s="869"/>
      <c r="C9" s="869"/>
      <c r="D9" s="869"/>
      <c r="E9" s="869"/>
      <c r="F9" s="869"/>
      <c r="G9" s="869"/>
      <c r="H9" s="869"/>
      <c r="I9" s="869"/>
      <c r="J9" s="54"/>
      <c r="K9" s="54"/>
      <c r="L9" s="54"/>
      <c r="M9" s="54"/>
      <c r="N9" s="55"/>
      <c r="O9" s="55"/>
      <c r="P9" s="55"/>
      <c r="Q9" s="55"/>
      <c r="R9" s="55"/>
    </row>
    <row r="10" spans="1:18">
      <c r="A10" s="869"/>
      <c r="B10" s="869"/>
      <c r="C10" s="869"/>
      <c r="D10" s="869"/>
      <c r="E10" s="869"/>
      <c r="F10" s="869"/>
      <c r="G10" s="869"/>
      <c r="H10" s="869"/>
      <c r="I10" s="869"/>
      <c r="J10" s="54"/>
      <c r="K10" s="54"/>
      <c r="L10" s="54"/>
      <c r="M10" s="54"/>
      <c r="N10" s="55"/>
      <c r="O10" s="55"/>
      <c r="P10" s="55"/>
      <c r="Q10" s="55"/>
      <c r="R10" s="55"/>
    </row>
    <row r="11" spans="1:18" ht="16.5" customHeight="1">
      <c r="A11" s="869" t="str">
        <f>CONCATENATE("As of the date of valuation, the property was occupied by ", PROPER(TEXT(INPUT!B44,"")),".")</f>
        <v>As of the date of valuation, the property was occupied by Light Industrial.</v>
      </c>
      <c r="B11" s="869"/>
      <c r="C11" s="869"/>
      <c r="D11" s="869"/>
      <c r="E11" s="869"/>
      <c r="F11" s="869"/>
      <c r="G11" s="869"/>
      <c r="H11" s="869"/>
      <c r="I11" s="869"/>
      <c r="J11" s="54"/>
      <c r="K11" s="54"/>
      <c r="L11" s="54"/>
      <c r="M11" s="54"/>
      <c r="N11" s="55"/>
      <c r="O11" s="55"/>
      <c r="P11" s="55"/>
      <c r="Q11" s="55"/>
      <c r="R11" s="55"/>
    </row>
    <row r="12" spans="1:18">
      <c r="A12" s="869"/>
      <c r="B12" s="869"/>
      <c r="C12" s="869"/>
      <c r="D12" s="869"/>
      <c r="E12" s="869"/>
      <c r="F12" s="869"/>
      <c r="G12" s="869"/>
      <c r="H12" s="869"/>
      <c r="I12" s="869"/>
      <c r="J12" s="54"/>
      <c r="K12" s="54"/>
      <c r="L12" s="54"/>
      <c r="M12" s="54"/>
      <c r="N12" s="55"/>
      <c r="O12" s="55"/>
      <c r="P12" s="55"/>
      <c r="Q12" s="55"/>
      <c r="R12" s="55"/>
    </row>
    <row r="13" spans="1:18" ht="18">
      <c r="A13" s="336" t="s">
        <v>51</v>
      </c>
      <c r="B13" s="21"/>
      <c r="C13" s="21"/>
      <c r="D13" s="21"/>
      <c r="E13" s="21"/>
      <c r="F13" s="21"/>
      <c r="G13" s="21"/>
      <c r="H13" s="21"/>
      <c r="I13" s="21"/>
      <c r="J13" s="55"/>
      <c r="K13" s="55"/>
      <c r="L13" s="55"/>
      <c r="M13" s="55"/>
      <c r="N13" s="55"/>
      <c r="O13" s="55"/>
      <c r="P13" s="55"/>
      <c r="Q13" s="55"/>
      <c r="R13" s="55"/>
    </row>
    <row r="14" spans="1:18" ht="16.5" customHeight="1">
      <c r="A14" s="869" t="str">
        <f>CONCATENATE("The Income Approach utilizes the direct capitalization method, which converts expected income into an indicator of market value.")&amp;CONCATENATE(" Please refer to rent comparables and other relevant market infomation contained within this packet.")</f>
        <v>The Income Approach utilizes the direct capitalization method, which converts expected income into an indicator of market value. Please refer to rent comparables and other relevant market infomation contained within this packet.</v>
      </c>
      <c r="B14" s="869"/>
      <c r="C14" s="869"/>
      <c r="D14" s="869"/>
      <c r="E14" s="869"/>
      <c r="F14" s="869"/>
      <c r="G14" s="869"/>
      <c r="H14" s="869"/>
      <c r="I14" s="869"/>
      <c r="J14" s="54"/>
      <c r="K14" s="54"/>
      <c r="L14" s="54"/>
      <c r="M14" s="54"/>
      <c r="N14" s="55"/>
      <c r="O14" s="55"/>
      <c r="P14" s="55"/>
      <c r="Q14" s="55"/>
      <c r="R14" s="55"/>
    </row>
    <row r="15" spans="1:18">
      <c r="A15" s="869"/>
      <c r="B15" s="869"/>
      <c r="C15" s="869"/>
      <c r="D15" s="869"/>
      <c r="E15" s="869"/>
      <c r="F15" s="869"/>
      <c r="G15" s="869"/>
      <c r="H15" s="869"/>
      <c r="I15" s="869"/>
      <c r="J15" s="54"/>
      <c r="K15" s="54"/>
      <c r="L15" s="54"/>
      <c r="M15" s="54"/>
      <c r="N15" s="55"/>
      <c r="O15" s="55"/>
      <c r="P15" s="55"/>
      <c r="Q15" s="55"/>
      <c r="R15" s="55"/>
    </row>
    <row r="16" spans="1:18">
      <c r="A16" s="869"/>
      <c r="B16" s="869"/>
      <c r="C16" s="869"/>
      <c r="D16" s="869"/>
      <c r="E16" s="869"/>
      <c r="F16" s="869"/>
      <c r="G16" s="869"/>
      <c r="H16" s="869"/>
      <c r="I16" s="869"/>
      <c r="J16" s="54"/>
      <c r="K16" s="54"/>
      <c r="L16" s="54"/>
      <c r="M16" s="54"/>
      <c r="N16" s="55"/>
      <c r="O16" s="55"/>
      <c r="P16" s="55"/>
      <c r="Q16" s="55"/>
      <c r="R16" s="55"/>
    </row>
    <row r="17" spans="1:13" ht="16.5" customHeight="1">
      <c r="A17" s="869" t="s">
        <v>136</v>
      </c>
      <c r="B17" s="869"/>
      <c r="C17" s="869"/>
      <c r="D17" s="869"/>
      <c r="E17" s="869"/>
      <c r="F17" s="869"/>
      <c r="G17" s="869"/>
      <c r="H17" s="869"/>
      <c r="I17" s="869"/>
      <c r="J17" s="54"/>
      <c r="K17" s="54"/>
      <c r="L17" s="54"/>
      <c r="M17" s="54"/>
    </row>
    <row r="18" spans="1:13">
      <c r="A18" s="869"/>
      <c r="B18" s="869"/>
      <c r="C18" s="869"/>
      <c r="D18" s="869"/>
      <c r="E18" s="869"/>
      <c r="F18" s="869"/>
      <c r="G18" s="869"/>
      <c r="H18" s="869"/>
      <c r="I18" s="869"/>
      <c r="J18" s="54"/>
      <c r="K18" s="54"/>
      <c r="L18" s="54"/>
      <c r="M18" s="54"/>
    </row>
    <row r="19" spans="1:13">
      <c r="A19" s="869"/>
      <c r="B19" s="869"/>
      <c r="C19" s="869"/>
      <c r="D19" s="869"/>
      <c r="E19" s="869"/>
      <c r="F19" s="869"/>
      <c r="G19" s="869"/>
      <c r="H19" s="869"/>
      <c r="I19" s="869"/>
      <c r="J19" s="54"/>
      <c r="K19" s="54"/>
      <c r="L19" s="54"/>
      <c r="M19" s="54"/>
    </row>
    <row r="20" spans="1:13" ht="5.25" customHeight="1">
      <c r="A20" s="869"/>
      <c r="B20" s="869"/>
      <c r="C20" s="869"/>
      <c r="D20" s="869"/>
      <c r="E20" s="869"/>
      <c r="F20" s="869"/>
      <c r="G20" s="869"/>
      <c r="H20" s="869"/>
      <c r="I20" s="869"/>
      <c r="J20" s="54"/>
      <c r="K20" s="54"/>
      <c r="L20" s="54"/>
      <c r="M20" s="54"/>
    </row>
    <row r="21" spans="1:13" ht="33" customHeight="1">
      <c r="A21" s="869"/>
      <c r="B21" s="869"/>
      <c r="C21" s="869"/>
      <c r="D21" s="869"/>
      <c r="E21" s="869"/>
      <c r="F21" s="869"/>
      <c r="G21" s="869"/>
      <c r="H21" s="869"/>
      <c r="I21" s="869"/>
      <c r="J21" s="54"/>
      <c r="K21" s="54"/>
      <c r="L21" s="54"/>
      <c r="M21" s="54"/>
    </row>
    <row r="22" spans="1:13" ht="18">
      <c r="A22" s="21"/>
      <c r="B22" s="876" t="s">
        <v>138</v>
      </c>
      <c r="C22" s="876"/>
      <c r="D22" s="876"/>
      <c r="E22" s="876"/>
      <c r="F22" s="876"/>
      <c r="G22" s="338"/>
      <c r="H22" s="871" t="s">
        <v>157</v>
      </c>
      <c r="I22" s="871"/>
    </row>
    <row r="23" spans="1:13" ht="18">
      <c r="A23" s="21"/>
      <c r="B23" s="271"/>
      <c r="C23" s="271"/>
      <c r="D23" s="271"/>
      <c r="E23" s="271"/>
      <c r="F23" s="271"/>
      <c r="G23" s="338"/>
      <c r="H23" s="340">
        <f>CEA!AC30</f>
        <v>3245905.7142857141</v>
      </c>
      <c r="I23" s="339"/>
    </row>
    <row r="24" spans="1:13" ht="18">
      <c r="A24" s="21"/>
      <c r="B24" s="21"/>
      <c r="C24" s="872"/>
      <c r="D24" s="872"/>
      <c r="E24" s="872"/>
      <c r="F24" s="872"/>
      <c r="G24" s="338"/>
      <c r="H24" s="139"/>
      <c r="I24" s="139"/>
    </row>
    <row r="25" spans="1:13" ht="18">
      <c r="A25" s="21"/>
      <c r="B25" s="876" t="s">
        <v>139</v>
      </c>
      <c r="C25" s="876"/>
      <c r="D25" s="876"/>
      <c r="E25" s="876"/>
      <c r="F25" s="876"/>
      <c r="G25" s="338"/>
      <c r="H25" s="871">
        <v>0</v>
      </c>
      <c r="I25" s="871"/>
    </row>
    <row r="26" spans="1:13" ht="18">
      <c r="A26" s="21"/>
      <c r="B26" s="271"/>
      <c r="C26" s="271"/>
      <c r="D26" s="271"/>
      <c r="E26" s="271"/>
      <c r="F26" s="271"/>
      <c r="G26" s="338"/>
      <c r="H26" s="873">
        <f>'Sales Grid'!F43</f>
        <v>3934000</v>
      </c>
      <c r="I26" s="873"/>
    </row>
    <row r="27" spans="1:13" ht="14.4">
      <c r="A27" s="21"/>
      <c r="B27" s="21"/>
      <c r="C27" s="21"/>
      <c r="D27" s="21"/>
      <c r="E27" s="139"/>
      <c r="F27" s="21"/>
      <c r="G27" s="21"/>
      <c r="H27" s="21"/>
      <c r="I27" s="21"/>
    </row>
    <row r="28" spans="1:13" ht="18">
      <c r="A28" s="874" t="s">
        <v>50</v>
      </c>
      <c r="B28" s="875"/>
      <c r="C28" s="21"/>
      <c r="D28" s="21"/>
      <c r="E28" s="21"/>
      <c r="F28" s="21"/>
      <c r="G28" s="21"/>
      <c r="H28" s="21"/>
      <c r="I28" s="21"/>
    </row>
    <row r="29" spans="1:13" ht="16.5" customHeight="1">
      <c r="A29" s="869" t="str">
        <f>CONCATENATE("The Assessor’s Office has given careful consideration to the approaches to the value that have been used in this appraisal and has determined a reasonable and reliable indication of fair market value for the subject property.")&amp;CONCATENATE(" Therefore, the Assessor’s Office recommends no reduction for the ", TEXT(INPUT!D3, "####/####")," tax year.")</f>
        <v>The Assessor’s Office has given careful consideration to the approaches to the value that have been used in this appraisal and has determined a reasonable and reliable indication of fair market value for the subject property. Therefore, the Assessor’s Office recommends no reduction for the 2026/2027 tax year.</v>
      </c>
      <c r="B29" s="869"/>
      <c r="C29" s="869"/>
      <c r="D29" s="869"/>
      <c r="E29" s="869"/>
      <c r="F29" s="869"/>
      <c r="G29" s="869"/>
      <c r="H29" s="869"/>
      <c r="I29" s="869"/>
      <c r="J29" s="54"/>
      <c r="K29" s="54"/>
      <c r="L29" s="54"/>
      <c r="M29" s="54"/>
    </row>
    <row r="30" spans="1:13">
      <c r="A30" s="869"/>
      <c r="B30" s="869"/>
      <c r="C30" s="869"/>
      <c r="D30" s="869"/>
      <c r="E30" s="869"/>
      <c r="F30" s="869"/>
      <c r="G30" s="869"/>
      <c r="H30" s="869"/>
      <c r="I30" s="869"/>
      <c r="J30" s="54"/>
      <c r="K30" s="54"/>
      <c r="L30" s="54"/>
      <c r="M30" s="54"/>
    </row>
    <row r="31" spans="1:13" ht="7.5" customHeight="1">
      <c r="A31" s="869"/>
      <c r="B31" s="869"/>
      <c r="C31" s="869"/>
      <c r="D31" s="869"/>
      <c r="E31" s="869"/>
      <c r="F31" s="869"/>
      <c r="G31" s="869"/>
      <c r="H31" s="869"/>
      <c r="I31" s="869"/>
      <c r="J31" s="54"/>
      <c r="K31" s="54"/>
      <c r="L31" s="54"/>
      <c r="M31" s="54"/>
    </row>
    <row r="32" spans="1:13" ht="85.5" customHeight="1">
      <c r="A32" s="870" t="str">
        <f>CONCATENATE("CONCLUDED VALUE = ",TEXT(INPUT!B26,"$#,###"))</f>
        <v>CONCLUDED VALUE = $3,928,960</v>
      </c>
      <c r="B32" s="870"/>
      <c r="C32" s="870"/>
      <c r="D32" s="870"/>
      <c r="E32" s="870"/>
      <c r="F32" s="870"/>
      <c r="G32" s="870"/>
      <c r="H32" s="870"/>
      <c r="I32" s="870"/>
      <c r="J32" s="53"/>
      <c r="K32" s="53"/>
      <c r="L32" s="53"/>
      <c r="M32" s="53"/>
    </row>
    <row r="33" spans="1:14" ht="14.4">
      <c r="A33" s="21"/>
      <c r="B33" s="21"/>
      <c r="C33" s="21"/>
      <c r="D33" s="21"/>
      <c r="E33" s="21"/>
      <c r="F33" s="21"/>
      <c r="G33" s="21"/>
      <c r="H33" s="21"/>
      <c r="I33" s="21"/>
    </row>
    <row r="34" spans="1:14" ht="15" customHeight="1">
      <c r="A34" s="52" t="str">
        <f>CONCATENATE("Submitted by: ",TEXT(INPUT!B6,""), " - Appraiser")</f>
        <v>Submitted by: Kyle Edmonds - Appraiser</v>
      </c>
      <c r="B34" s="231"/>
      <c r="C34" s="231"/>
      <c r="D34" s="231"/>
      <c r="E34" s="232"/>
      <c r="F34" s="232"/>
      <c r="G34" s="21"/>
      <c r="H34" s="21"/>
      <c r="I34" s="21"/>
      <c r="J34" s="139"/>
      <c r="K34" s="139"/>
      <c r="L34" s="139"/>
      <c r="M34" s="139"/>
      <c r="N34" s="139"/>
    </row>
    <row r="35" spans="1:14" ht="12.75" customHeight="1">
      <c r="A35" s="52" t="s">
        <v>158</v>
      </c>
      <c r="B35" s="231"/>
      <c r="C35" s="231"/>
      <c r="D35" s="231"/>
      <c r="E35" s="232"/>
      <c r="F35" s="21"/>
      <c r="G35" s="21"/>
      <c r="H35" s="21"/>
      <c r="I35" s="21"/>
      <c r="J35" s="139"/>
      <c r="K35" s="139"/>
      <c r="L35" s="139"/>
      <c r="M35" s="139"/>
      <c r="N35" s="139"/>
    </row>
    <row r="36" spans="1:14" ht="14.4">
      <c r="A36"/>
      <c r="B36"/>
      <c r="C36"/>
      <c r="D36"/>
      <c r="E36"/>
      <c r="F36"/>
      <c r="G36"/>
      <c r="H36"/>
      <c r="I36"/>
    </row>
    <row r="37" spans="1:14" ht="14.4">
      <c r="A37"/>
      <c r="B37"/>
      <c r="C37"/>
      <c r="D37"/>
      <c r="E37"/>
      <c r="F37"/>
      <c r="G37"/>
      <c r="H37"/>
      <c r="I37"/>
    </row>
    <row r="38" spans="1:14" ht="14.4">
      <c r="A38"/>
      <c r="B38"/>
      <c r="C38"/>
      <c r="D38"/>
      <c r="E38"/>
      <c r="F38"/>
      <c r="G38"/>
      <c r="H38"/>
      <c r="I38"/>
    </row>
    <row r="39" spans="1:14" ht="14.4">
      <c r="A39"/>
      <c r="B39"/>
      <c r="C39"/>
      <c r="D39"/>
      <c r="E39"/>
      <c r="F39"/>
      <c r="G39"/>
      <c r="H39"/>
      <c r="I39"/>
    </row>
    <row r="40" spans="1:14" ht="14.4">
      <c r="A40"/>
      <c r="B40"/>
      <c r="C40"/>
      <c r="D40"/>
      <c r="E40"/>
      <c r="F40"/>
      <c r="G40"/>
      <c r="H40"/>
      <c r="I40"/>
    </row>
    <row r="41" spans="1:14" ht="14.4">
      <c r="A41"/>
      <c r="B41"/>
      <c r="C41"/>
      <c r="D41"/>
      <c r="E41"/>
      <c r="F41"/>
      <c r="G41"/>
      <c r="H41"/>
      <c r="I41"/>
    </row>
    <row r="42" spans="1:14" ht="14.4">
      <c r="A42"/>
      <c r="B42"/>
      <c r="C42"/>
      <c r="D42"/>
      <c r="E42"/>
      <c r="F42"/>
      <c r="G42"/>
      <c r="H42"/>
      <c r="I42"/>
    </row>
    <row r="43" spans="1:14" ht="14.4">
      <c r="A43"/>
      <c r="B43"/>
      <c r="C43"/>
      <c r="D43"/>
      <c r="E43"/>
      <c r="F43" s="1"/>
      <c r="G43"/>
      <c r="H43"/>
      <c r="I43"/>
    </row>
    <row r="44" spans="1:14" ht="14.4">
      <c r="A44"/>
      <c r="B44"/>
      <c r="C44"/>
      <c r="D44"/>
      <c r="E44"/>
      <c r="F44"/>
      <c r="G44"/>
      <c r="H44"/>
      <c r="I44"/>
    </row>
    <row r="45" spans="1:14" ht="14.4">
      <c r="A45"/>
      <c r="B45"/>
      <c r="C45"/>
      <c r="D45"/>
      <c r="E45"/>
      <c r="F45"/>
      <c r="G45"/>
      <c r="H45"/>
      <c r="I45"/>
    </row>
    <row r="46" spans="1:14" ht="14.4">
      <c r="A46"/>
      <c r="B46"/>
      <c r="C46"/>
      <c r="D46"/>
      <c r="E46"/>
      <c r="F46"/>
      <c r="G46"/>
      <c r="H46"/>
      <c r="I46"/>
    </row>
    <row r="47" spans="1:14" ht="14.4">
      <c r="A47"/>
      <c r="B47"/>
      <c r="C47"/>
      <c r="D47"/>
      <c r="E47"/>
      <c r="F47"/>
      <c r="G47"/>
      <c r="H47"/>
      <c r="I47"/>
    </row>
    <row r="48" spans="1:14" ht="14.4">
      <c r="A48"/>
      <c r="B48"/>
      <c r="C48"/>
      <c r="D48"/>
      <c r="E48"/>
      <c r="F48"/>
      <c r="G48"/>
      <c r="H48"/>
      <c r="I48"/>
    </row>
    <row r="49" spans="1:9" ht="14.4">
      <c r="A49"/>
      <c r="B49"/>
      <c r="C49"/>
      <c r="D49"/>
      <c r="E49"/>
      <c r="F49"/>
      <c r="G49"/>
      <c r="H49"/>
      <c r="I49"/>
    </row>
    <row r="50" spans="1:9" ht="14.4">
      <c r="A50"/>
      <c r="B50"/>
      <c r="C50"/>
      <c r="D50"/>
      <c r="E50"/>
      <c r="F50"/>
      <c r="G50"/>
      <c r="H50"/>
      <c r="I50"/>
    </row>
  </sheetData>
  <sheetProtection formatColumns="0" formatRows="0" insertColumns="0" insertRows="0"/>
  <mergeCells count="15">
    <mergeCell ref="A28:B28"/>
    <mergeCell ref="A29:I31"/>
    <mergeCell ref="A32:I32"/>
    <mergeCell ref="B22:F22"/>
    <mergeCell ref="H22:I22"/>
    <mergeCell ref="C24:F24"/>
    <mergeCell ref="B25:F25"/>
    <mergeCell ref="H25:I25"/>
    <mergeCell ref="H26:I26"/>
    <mergeCell ref="A17:I21"/>
    <mergeCell ref="A2:I2"/>
    <mergeCell ref="A5:I7"/>
    <mergeCell ref="A9:I10"/>
    <mergeCell ref="A11:I12"/>
    <mergeCell ref="A14:I16"/>
  </mergeCells>
  <printOptions horizontalCentered="1"/>
  <pageMargins left="0.7" right="0.7" top="0.75" bottom="0.75" header="0.3" footer="0.3"/>
  <pageSetup scale="86" orientation="portrait" r:id="rId1"/>
  <headerFooter scaleWithDoc="0">
    <oddFooter>Page &amp;P of &amp;N</oddFooter>
  </headerFooter>
  <rowBreaks count="1" manualBreakCount="1">
    <brk id="35" max="16383" man="1"/>
  </rowBreak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AFFC6-D8E4-44A7-AD86-47195C4EC1F2}">
  <sheetPr codeName="Sheet27">
    <tabColor theme="9" tint="-0.249977111117893"/>
  </sheetPr>
  <dimension ref="A1:N44"/>
  <sheetViews>
    <sheetView showZeros="0" view="pageLayout" topLeftCell="A12" zoomScale="115" zoomScaleNormal="85" zoomScaleSheetLayoutView="160" zoomScalePageLayoutView="115" workbookViewId="0">
      <selection activeCell="A44" sqref="A44:J44"/>
    </sheetView>
  </sheetViews>
  <sheetFormatPr defaultColWidth="2.109375" defaultRowHeight="14.4"/>
  <cols>
    <col min="1" max="7" width="9.88671875" customWidth="1"/>
    <col min="8" max="8" width="6.109375" customWidth="1"/>
    <col min="9" max="9" width="13.6640625" customWidth="1"/>
    <col min="10" max="10" width="9.88671875" customWidth="1"/>
    <col min="11" max="17" width="9.44140625" customWidth="1"/>
  </cols>
  <sheetData>
    <row r="1" spans="1:14" ht="17.100000000000001" customHeight="1">
      <c r="A1" s="317"/>
      <c r="B1" s="318"/>
      <c r="C1" s="318"/>
      <c r="D1" s="318"/>
      <c r="E1" s="318"/>
      <c r="F1" s="318"/>
      <c r="G1" s="318"/>
      <c r="H1" s="319"/>
      <c r="I1" s="319"/>
      <c r="J1" s="319"/>
      <c r="K1" s="51"/>
      <c r="L1" s="51"/>
      <c r="M1" s="51"/>
      <c r="N1" s="51"/>
    </row>
    <row r="2" spans="1:14" ht="17.100000000000001" customHeight="1">
      <c r="A2" s="317"/>
      <c r="B2" s="318"/>
      <c r="C2" s="318"/>
      <c r="D2" s="318"/>
      <c r="E2" s="860" t="s">
        <v>160</v>
      </c>
      <c r="F2" s="860"/>
      <c r="G2" s="860"/>
      <c r="H2" s="860"/>
      <c r="I2" s="860"/>
      <c r="J2" s="319"/>
      <c r="K2" s="51"/>
      <c r="L2" s="51"/>
      <c r="M2" s="51"/>
      <c r="N2" s="51"/>
    </row>
    <row r="3" spans="1:14" ht="17.100000000000001" customHeight="1">
      <c r="A3" s="317"/>
      <c r="B3" s="21"/>
      <c r="C3" s="21"/>
      <c r="D3" s="21"/>
      <c r="E3" s="320"/>
      <c r="F3" s="320"/>
      <c r="G3" s="320"/>
      <c r="H3" s="320"/>
      <c r="I3" s="319"/>
      <c r="J3" s="319"/>
      <c r="K3" s="51"/>
      <c r="L3" s="51"/>
      <c r="M3" s="51"/>
      <c r="N3" s="51"/>
    </row>
    <row r="4" spans="1:14" ht="17.100000000000001" customHeight="1">
      <c r="A4" s="317"/>
      <c r="B4" s="21"/>
      <c r="C4" s="21"/>
      <c r="D4" s="860" t="s">
        <v>155</v>
      </c>
      <c r="E4" s="860"/>
      <c r="F4" s="860"/>
      <c r="G4" s="860"/>
      <c r="H4" s="860"/>
      <c r="I4" s="860"/>
      <c r="J4" s="860"/>
      <c r="K4" s="51"/>
      <c r="L4" s="51"/>
      <c r="M4" s="51"/>
      <c r="N4" s="51"/>
    </row>
    <row r="5" spans="1:14" ht="17.100000000000001" customHeight="1">
      <c r="A5" s="317"/>
      <c r="B5" s="21"/>
      <c r="C5" s="21"/>
      <c r="D5" s="21"/>
      <c r="E5" s="321"/>
      <c r="F5" s="321"/>
      <c r="G5" s="321"/>
      <c r="H5" s="321"/>
      <c r="I5" s="319"/>
      <c r="J5" s="319"/>
      <c r="K5" s="51"/>
      <c r="L5" s="51"/>
      <c r="M5" s="51"/>
      <c r="N5" s="51"/>
    </row>
    <row r="6" spans="1:14" ht="17.100000000000001" customHeight="1">
      <c r="A6" s="317"/>
      <c r="B6" s="21"/>
      <c r="C6" s="318"/>
      <c r="D6" s="318"/>
      <c r="E6" s="318"/>
      <c r="F6" s="318"/>
      <c r="G6" s="318"/>
      <c r="H6" s="319"/>
      <c r="I6" s="319"/>
      <c r="J6" s="319"/>
      <c r="K6" s="51"/>
      <c r="L6" s="51"/>
      <c r="M6" s="51"/>
      <c r="N6" s="51"/>
    </row>
    <row r="7" spans="1:14" ht="17.100000000000001" customHeight="1">
      <c r="A7" s="317"/>
      <c r="B7" s="21"/>
      <c r="C7" s="321"/>
      <c r="D7" s="21"/>
      <c r="E7" s="861" t="str">
        <f>"ASSESSMENT APPEAL BOARD #"&amp;INPUT!B18</f>
        <v>ASSESSMENT APPEAL BOARD #</v>
      </c>
      <c r="F7" s="861"/>
      <c r="G7" s="861"/>
      <c r="H7" s="861"/>
      <c r="I7" s="861"/>
      <c r="J7" s="319"/>
      <c r="K7" s="51"/>
      <c r="L7" s="51"/>
      <c r="M7" s="51"/>
      <c r="N7" s="51"/>
    </row>
    <row r="8" spans="1:14" ht="17.100000000000001" customHeight="1">
      <c r="A8" s="317"/>
      <c r="B8" s="318"/>
      <c r="C8" s="318"/>
      <c r="D8" s="318"/>
      <c r="E8" s="318"/>
      <c r="F8" s="318"/>
      <c r="G8" s="318"/>
      <c r="H8" s="319"/>
      <c r="I8" s="319"/>
      <c r="J8" s="319"/>
      <c r="K8" s="51"/>
      <c r="L8" s="51"/>
      <c r="M8" s="51"/>
      <c r="N8" s="51"/>
    </row>
    <row r="9" spans="1:14" ht="17.100000000000001" customHeight="1">
      <c r="A9" s="317"/>
      <c r="B9" s="318"/>
      <c r="C9" s="318"/>
      <c r="D9" s="318"/>
      <c r="E9" s="318"/>
      <c r="F9" s="318"/>
      <c r="G9" s="318"/>
      <c r="H9" s="319"/>
      <c r="I9" s="319"/>
      <c r="J9" s="319"/>
      <c r="K9" s="51"/>
      <c r="L9" s="51"/>
      <c r="M9" s="51"/>
      <c r="N9" s="51"/>
    </row>
    <row r="10" spans="1:14" ht="17.100000000000001" customHeight="1">
      <c r="A10" s="317"/>
      <c r="B10" s="21"/>
      <c r="C10" s="21"/>
      <c r="D10" s="21"/>
      <c r="E10" s="21"/>
      <c r="F10" s="21"/>
      <c r="G10" s="21"/>
      <c r="H10" s="319"/>
      <c r="I10" s="319"/>
      <c r="J10" s="319"/>
      <c r="K10" s="51"/>
      <c r="L10" s="51"/>
      <c r="M10" s="51"/>
      <c r="N10" s="51"/>
    </row>
    <row r="11" spans="1:14" ht="17.100000000000001" customHeight="1">
      <c r="A11" s="317"/>
      <c r="B11" s="21"/>
      <c r="C11" s="21"/>
      <c r="D11" s="21"/>
      <c r="E11" s="21"/>
      <c r="F11" s="21"/>
      <c r="G11" s="21"/>
      <c r="H11" s="319"/>
      <c r="I11" s="319"/>
      <c r="J11" s="319"/>
      <c r="K11" s="51"/>
      <c r="L11" s="51"/>
      <c r="M11" s="51"/>
      <c r="N11" s="51"/>
    </row>
    <row r="12" spans="1:14" ht="17.100000000000001" customHeight="1">
      <c r="A12" s="255"/>
      <c r="B12" s="255"/>
      <c r="C12" s="255"/>
      <c r="D12" s="255"/>
      <c r="E12" s="255"/>
      <c r="F12" s="255"/>
      <c r="G12" s="255"/>
      <c r="H12" s="255"/>
      <c r="I12" s="255"/>
      <c r="J12" s="255"/>
      <c r="K12" s="2"/>
      <c r="L12" s="2"/>
      <c r="M12" s="2"/>
      <c r="N12" s="2"/>
    </row>
    <row r="13" spans="1:14" ht="17.100000000000001" customHeight="1">
      <c r="A13" s="255"/>
      <c r="B13" s="255"/>
      <c r="C13" s="255"/>
      <c r="D13" s="255"/>
      <c r="E13" s="255"/>
      <c r="F13" s="255"/>
      <c r="G13" s="255"/>
      <c r="H13" s="255"/>
      <c r="I13" s="255"/>
      <c r="J13" s="255"/>
      <c r="K13" s="2"/>
      <c r="L13" s="2"/>
      <c r="M13" s="2"/>
      <c r="N13" s="2"/>
    </row>
    <row r="14" spans="1:14" ht="17.100000000000001" customHeight="1">
      <c r="A14" s="862" t="str">
        <f>CONCATENATE("HEARING DATE: ",TEXT(INPUT!B17, "mm/DD/YYYY"))</f>
        <v>HEARING DATE: 01/00/1900</v>
      </c>
      <c r="B14" s="862"/>
      <c r="C14" s="862"/>
      <c r="D14" s="862"/>
      <c r="E14" s="862"/>
      <c r="F14" s="862"/>
      <c r="G14" s="862"/>
      <c r="H14" s="862"/>
      <c r="I14" s="862"/>
      <c r="J14" s="862"/>
      <c r="K14" s="12"/>
      <c r="L14" s="12"/>
      <c r="M14" s="12"/>
      <c r="N14" s="12"/>
    </row>
    <row r="15" spans="1:14" ht="17.100000000000001" customHeight="1">
      <c r="A15" s="21"/>
      <c r="B15" s="322"/>
      <c r="C15" s="322"/>
      <c r="D15" s="322"/>
      <c r="E15" s="22"/>
      <c r="F15" s="322"/>
      <c r="G15" s="322"/>
      <c r="H15" s="22"/>
      <c r="I15" s="22"/>
      <c r="J15" s="22"/>
      <c r="K15" s="12"/>
      <c r="L15" s="12"/>
      <c r="M15" s="12"/>
      <c r="N15" s="12"/>
    </row>
    <row r="16" spans="1:14" ht="17.100000000000001" customHeight="1">
      <c r="A16" s="863" t="s">
        <v>156</v>
      </c>
      <c r="B16" s="863"/>
      <c r="C16" s="863"/>
      <c r="D16" s="863"/>
      <c r="E16" s="863"/>
      <c r="F16" s="863"/>
      <c r="G16" s="863"/>
      <c r="H16" s="863"/>
      <c r="I16" s="863"/>
      <c r="J16" s="863"/>
      <c r="K16" s="50"/>
      <c r="L16" s="50"/>
      <c r="M16" s="50"/>
      <c r="N16" s="50"/>
    </row>
    <row r="17" spans="1:14" ht="17.100000000000001" customHeight="1">
      <c r="A17" s="21"/>
      <c r="B17" s="323"/>
      <c r="C17" s="323"/>
      <c r="D17" s="323"/>
      <c r="E17" s="323"/>
      <c r="F17" s="323"/>
      <c r="G17" s="323"/>
      <c r="H17" s="324"/>
      <c r="I17" s="324"/>
      <c r="J17" s="324"/>
      <c r="K17" s="50"/>
      <c r="L17" s="50"/>
      <c r="M17" s="50"/>
      <c r="N17" s="50"/>
    </row>
    <row r="18" spans="1:14" ht="17.100000000000001" customHeight="1">
      <c r="A18" s="859">
        <f>INPUT!B16</f>
        <v>0</v>
      </c>
      <c r="B18" s="859"/>
      <c r="C18" s="859"/>
      <c r="D18" s="859"/>
      <c r="E18" s="859"/>
      <c r="F18" s="859"/>
      <c r="G18" s="859"/>
      <c r="H18" s="859"/>
      <c r="I18" s="859"/>
      <c r="J18" s="859"/>
      <c r="K18" s="49"/>
      <c r="L18" s="49"/>
      <c r="M18" s="49"/>
      <c r="N18" s="49"/>
    </row>
    <row r="19" spans="1:14" ht="17.100000000000001" customHeight="1">
      <c r="A19" s="106"/>
      <c r="B19" s="325"/>
      <c r="C19" s="325"/>
      <c r="D19" s="325"/>
      <c r="E19" s="325"/>
      <c r="F19" s="325"/>
      <c r="G19" s="325"/>
      <c r="H19" s="326"/>
      <c r="I19" s="326"/>
      <c r="J19" s="326"/>
      <c r="K19" s="49"/>
      <c r="L19" s="49"/>
      <c r="M19" s="49"/>
      <c r="N19" s="49"/>
    </row>
    <row r="20" spans="1:14" ht="17.100000000000001" customHeight="1">
      <c r="A20" s="327"/>
      <c r="B20" s="325"/>
      <c r="C20" s="325"/>
      <c r="D20" s="325"/>
      <c r="E20" s="325"/>
      <c r="F20" s="325"/>
      <c r="G20" s="325"/>
      <c r="H20" s="326"/>
      <c r="I20" s="326"/>
      <c r="J20" s="326"/>
      <c r="K20" s="49"/>
      <c r="L20" s="49"/>
      <c r="M20" s="49"/>
      <c r="N20" s="49"/>
    </row>
    <row r="21" spans="1:14" ht="17.100000000000001" customHeight="1">
      <c r="A21" s="327"/>
      <c r="B21" s="325"/>
      <c r="C21" s="325"/>
      <c r="D21" s="325"/>
      <c r="E21" s="325"/>
      <c r="F21" s="325"/>
      <c r="G21" s="325"/>
      <c r="H21" s="326"/>
      <c r="I21" s="326"/>
      <c r="J21" s="326"/>
      <c r="K21" s="49"/>
      <c r="L21" s="49"/>
      <c r="M21" s="49"/>
      <c r="N21" s="49"/>
    </row>
    <row r="22" spans="1:14" ht="17.100000000000001" customHeight="1">
      <c r="A22" s="327"/>
      <c r="B22" s="325"/>
      <c r="C22" s="325"/>
      <c r="D22" s="325"/>
      <c r="E22" s="325"/>
      <c r="F22" s="325"/>
      <c r="G22" s="325"/>
      <c r="H22" s="326"/>
      <c r="I22" s="326"/>
      <c r="J22" s="326"/>
      <c r="K22" s="49"/>
      <c r="L22" s="49"/>
      <c r="M22" s="49"/>
      <c r="N22" s="49"/>
    </row>
    <row r="23" spans="1:14" ht="17.100000000000001" customHeight="1">
      <c r="A23" s="327"/>
      <c r="B23" s="325"/>
      <c r="C23" s="325"/>
      <c r="D23" s="325"/>
      <c r="E23" s="325"/>
      <c r="F23" s="325"/>
      <c r="G23" s="325"/>
      <c r="H23" s="326"/>
      <c r="I23" s="326"/>
      <c r="J23" s="326"/>
      <c r="K23" s="49"/>
      <c r="L23" s="49"/>
      <c r="M23" s="49"/>
      <c r="N23" s="49"/>
    </row>
    <row r="24" spans="1:14" ht="17.100000000000001" customHeight="1">
      <c r="A24" s="21"/>
      <c r="B24" s="239"/>
      <c r="C24" s="21"/>
      <c r="D24" s="239" t="s">
        <v>49</v>
      </c>
      <c r="E24" s="238"/>
      <c r="F24" s="865" t="str">
        <f>PROPER(INPUT!B19)</f>
        <v/>
      </c>
      <c r="G24" s="865"/>
      <c r="H24" s="865"/>
      <c r="I24" s="326"/>
      <c r="J24" s="326"/>
      <c r="K24" s="49"/>
    </row>
    <row r="25" spans="1:14" s="47" customFormat="1" ht="17.100000000000001" customHeight="1">
      <c r="A25" s="234"/>
      <c r="B25" s="234"/>
      <c r="C25" s="234"/>
      <c r="D25" s="234"/>
      <c r="E25" s="234"/>
      <c r="F25" s="234"/>
      <c r="G25" s="328"/>
      <c r="H25" s="328"/>
      <c r="I25" s="328"/>
      <c r="J25" s="328"/>
      <c r="K25" s="48"/>
    </row>
    <row r="26" spans="1:14" s="47" customFormat="1" ht="17.100000000000001" customHeight="1">
      <c r="A26" s="234"/>
      <c r="B26" s="234"/>
      <c r="C26" s="234"/>
      <c r="D26" s="239" t="s">
        <v>48</v>
      </c>
      <c r="E26" s="238"/>
      <c r="F26" s="865" t="str">
        <f>PROPER(INPUT!B20)</f>
        <v/>
      </c>
      <c r="G26" s="865"/>
      <c r="H26" s="865"/>
      <c r="I26" s="329"/>
      <c r="J26" s="234"/>
    </row>
    <row r="27" spans="1:14" s="47" customFormat="1" ht="17.100000000000001" customHeight="1">
      <c r="A27" s="234"/>
      <c r="B27" s="234"/>
      <c r="C27" s="234"/>
      <c r="D27" s="234"/>
      <c r="E27" s="234"/>
      <c r="F27" s="236"/>
      <c r="G27" s="328"/>
      <c r="H27" s="328"/>
      <c r="I27" s="328"/>
      <c r="J27" s="328"/>
      <c r="K27" s="48"/>
      <c r="L27" s="48"/>
    </row>
    <row r="28" spans="1:14" s="47" customFormat="1" ht="17.100000000000001" customHeight="1">
      <c r="A28" s="234"/>
      <c r="B28" s="239"/>
      <c r="C28" s="327"/>
      <c r="D28" s="234"/>
      <c r="E28" s="330"/>
      <c r="F28" s="330"/>
      <c r="G28" s="331"/>
      <c r="H28" s="331"/>
      <c r="I28" s="329"/>
      <c r="J28" s="329"/>
    </row>
    <row r="29" spans="1:14" s="47" customFormat="1" ht="17.100000000000001" customHeight="1">
      <c r="A29" s="234"/>
      <c r="B29" s="239"/>
      <c r="C29" s="327"/>
      <c r="D29" s="234"/>
      <c r="E29" s="330"/>
      <c r="F29" s="330"/>
      <c r="G29" s="331"/>
      <c r="H29" s="331"/>
      <c r="I29" s="329"/>
      <c r="J29" s="329"/>
    </row>
    <row r="30" spans="1:14" s="47" customFormat="1" ht="17.100000000000001" customHeight="1">
      <c r="A30" s="234"/>
      <c r="B30" s="234"/>
      <c r="C30" s="234"/>
      <c r="D30" s="234"/>
      <c r="E30" s="234"/>
      <c r="F30" s="234"/>
      <c r="G30" s="234"/>
      <c r="H30" s="234"/>
      <c r="I30" s="234"/>
      <c r="J30" s="234"/>
    </row>
    <row r="31" spans="1:14" s="47" customFormat="1" ht="17.100000000000001" customHeight="1">
      <c r="A31" s="234"/>
      <c r="B31" s="234"/>
      <c r="C31" s="239"/>
      <c r="D31" s="239" t="s">
        <v>47</v>
      </c>
      <c r="E31" s="239"/>
      <c r="F31" s="867">
        <f>INPUT!B25</f>
        <v>0</v>
      </c>
      <c r="G31" s="867"/>
      <c r="H31" s="867"/>
      <c r="I31" s="332" t="str">
        <f>"$"&amp;ROUND(F31/INPUT!B35,0)&amp;"/sqft"</f>
        <v>$0/sqft</v>
      </c>
      <c r="J31" s="240"/>
    </row>
    <row r="32" spans="1:14" s="47" customFormat="1" ht="17.100000000000001" customHeight="1">
      <c r="A32" s="234"/>
      <c r="B32" s="235"/>
      <c r="C32" s="235"/>
      <c r="D32" s="235"/>
      <c r="E32" s="235"/>
      <c r="F32" s="234"/>
      <c r="G32" s="236"/>
      <c r="H32" s="237"/>
      <c r="I32" s="234"/>
      <c r="J32" s="234"/>
    </row>
    <row r="33" spans="1:14" s="47" customFormat="1" ht="17.100000000000001" customHeight="1">
      <c r="A33" s="234"/>
      <c r="B33" s="234"/>
      <c r="C33" s="238"/>
      <c r="D33" s="239" t="s">
        <v>4</v>
      </c>
      <c r="E33" s="238"/>
      <c r="F33" s="867">
        <f>INPUT!B27</f>
        <v>0</v>
      </c>
      <c r="G33" s="867"/>
      <c r="H33" s="867"/>
      <c r="I33" s="332" t="str">
        <f>"$"&amp;ROUND(F33/INPUT!B35,0)&amp;"/sqft"</f>
        <v>$0/sqft</v>
      </c>
      <c r="J33" s="240"/>
    </row>
    <row r="34" spans="1:14" s="47" customFormat="1" ht="17.100000000000001" customHeight="1">
      <c r="A34" s="234"/>
      <c r="B34" s="235"/>
      <c r="C34" s="235"/>
      <c r="D34" s="235"/>
      <c r="E34" s="235"/>
      <c r="F34" s="234"/>
      <c r="G34" s="236"/>
      <c r="H34" s="237"/>
      <c r="I34" s="234"/>
      <c r="J34" s="234"/>
      <c r="K34" s="234"/>
      <c r="L34" s="234"/>
      <c r="M34" s="234"/>
      <c r="N34" s="234"/>
    </row>
    <row r="35" spans="1:14" s="47" customFormat="1" ht="17.100000000000001" customHeight="1">
      <c r="A35" s="234"/>
      <c r="B35" s="234"/>
      <c r="C35" s="238"/>
      <c r="D35" s="239" t="s">
        <v>5</v>
      </c>
      <c r="E35" s="238"/>
      <c r="F35" s="867">
        <f>INPUT!B26</f>
        <v>3928960</v>
      </c>
      <c r="G35" s="867"/>
      <c r="H35" s="867"/>
      <c r="I35" s="332" t="str">
        <f>"$" &amp; TEXT(ROUND(F35/INPUT!B35,0), "#,##0") &amp; "/sqft"</f>
        <v>$375/sqft</v>
      </c>
      <c r="J35" s="240"/>
      <c r="K35" s="234"/>
      <c r="L35" s="234"/>
      <c r="M35" s="234"/>
      <c r="N35" s="234"/>
    </row>
    <row r="36" spans="1:14" ht="17.100000000000001" customHeight="1">
      <c r="A36" s="333"/>
      <c r="B36" s="21"/>
      <c r="C36" s="21"/>
      <c r="D36" s="21"/>
      <c r="E36" s="21"/>
      <c r="F36" s="21"/>
      <c r="G36" s="21"/>
      <c r="H36" s="21"/>
      <c r="I36" s="21"/>
      <c r="J36" s="334"/>
      <c r="K36" s="46"/>
      <c r="L36" s="46"/>
      <c r="M36" s="46"/>
      <c r="N36" s="46"/>
    </row>
    <row r="37" spans="1:14" ht="17.100000000000001" customHeight="1">
      <c r="A37" s="333"/>
      <c r="B37" s="21"/>
      <c r="C37" s="21"/>
      <c r="D37" s="21"/>
      <c r="E37" s="21"/>
      <c r="F37" s="21"/>
      <c r="G37" s="21"/>
      <c r="H37" s="21"/>
      <c r="I37" s="21"/>
      <c r="J37" s="334"/>
      <c r="K37" s="46"/>
      <c r="L37" s="46"/>
      <c r="M37" s="46"/>
      <c r="N37" s="46"/>
    </row>
    <row r="38" spans="1:14" ht="17.100000000000001" customHeight="1">
      <c r="A38" s="333"/>
      <c r="B38" s="21"/>
      <c r="C38" s="21"/>
      <c r="D38" s="21"/>
      <c r="E38" s="21"/>
      <c r="F38" s="21"/>
      <c r="G38" s="21"/>
      <c r="H38" s="21"/>
      <c r="I38" s="21"/>
      <c r="J38" s="334"/>
      <c r="K38" s="46"/>
      <c r="L38" s="46"/>
      <c r="M38" s="46"/>
      <c r="N38" s="46"/>
    </row>
    <row r="39" spans="1:14" ht="17.100000000000001" customHeight="1">
      <c r="A39" s="333"/>
      <c r="B39" s="21"/>
      <c r="C39" s="21"/>
      <c r="D39" s="21"/>
      <c r="E39" s="21"/>
      <c r="F39" s="21"/>
      <c r="G39" s="21"/>
      <c r="H39" s="21"/>
      <c r="I39" s="21"/>
      <c r="J39" s="334"/>
      <c r="K39" s="46"/>
      <c r="L39" s="46"/>
      <c r="M39" s="46"/>
      <c r="N39" s="46"/>
    </row>
    <row r="40" spans="1:14" ht="17.100000000000001" customHeight="1">
      <c r="A40" s="333"/>
      <c r="B40" s="335"/>
      <c r="C40" s="335"/>
      <c r="D40" s="335"/>
      <c r="E40" s="335"/>
      <c r="F40" s="335"/>
      <c r="G40" s="335"/>
      <c r="H40" s="334"/>
      <c r="I40" s="334"/>
      <c r="J40" s="334"/>
      <c r="K40" s="46"/>
      <c r="L40" s="46"/>
      <c r="M40" s="46"/>
      <c r="N40" s="46"/>
    </row>
    <row r="41" spans="1:14" ht="17.100000000000001" customHeight="1">
      <c r="A41" s="868" t="str">
        <f>CONCATENATE("PRESENTED BY: ",TEXT(INPUT!B6,"")," - APPRAISER")</f>
        <v>PRESENTED BY: Kyle Edmonds - APPRAISER</v>
      </c>
      <c r="B41" s="868"/>
      <c r="C41" s="868"/>
      <c r="D41" s="868"/>
      <c r="E41" s="868"/>
      <c r="F41" s="868"/>
      <c r="G41" s="868"/>
      <c r="H41" s="868"/>
      <c r="I41" s="868"/>
      <c r="J41" s="868"/>
      <c r="K41" s="46"/>
      <c r="L41" s="46"/>
      <c r="M41" s="46"/>
      <c r="N41" s="46"/>
    </row>
    <row r="42" spans="1:14" ht="17.100000000000001" customHeight="1">
      <c r="A42" s="866" t="s">
        <v>46</v>
      </c>
      <c r="B42" s="866"/>
      <c r="C42" s="866"/>
      <c r="D42" s="866"/>
      <c r="E42" s="866"/>
      <c r="F42" s="866"/>
      <c r="G42" s="866"/>
      <c r="H42" s="866"/>
      <c r="I42" s="866"/>
      <c r="J42" s="866"/>
    </row>
    <row r="43" spans="1:14" ht="17.100000000000001" customHeight="1">
      <c r="A43" s="866" t="s">
        <v>45</v>
      </c>
      <c r="B43" s="866"/>
      <c r="C43" s="866"/>
      <c r="D43" s="866"/>
      <c r="E43" s="866"/>
      <c r="F43" s="866"/>
      <c r="G43" s="866"/>
      <c r="H43" s="866"/>
      <c r="I43" s="866"/>
      <c r="J43" s="866"/>
    </row>
    <row r="44" spans="1:14" ht="17.100000000000001" customHeight="1">
      <c r="A44" s="866" t="s">
        <v>44</v>
      </c>
      <c r="B44" s="866"/>
      <c r="C44" s="866"/>
      <c r="D44" s="866"/>
      <c r="E44" s="866"/>
      <c r="F44" s="866"/>
      <c r="G44" s="866"/>
      <c r="H44" s="866"/>
      <c r="I44" s="866"/>
      <c r="J44" s="866"/>
    </row>
  </sheetData>
  <sheetProtection sheet="1" objects="1" scenarios="1" formatColumns="0" formatRows="0" insertColumns="0" insertRows="0"/>
  <mergeCells count="15">
    <mergeCell ref="A42:J42"/>
    <mergeCell ref="A43:J43"/>
    <mergeCell ref="A44:J44"/>
    <mergeCell ref="F24:H24"/>
    <mergeCell ref="F26:H26"/>
    <mergeCell ref="F31:H31"/>
    <mergeCell ref="F33:H33"/>
    <mergeCell ref="F35:H35"/>
    <mergeCell ref="A41:J41"/>
    <mergeCell ref="A18:J18"/>
    <mergeCell ref="E2:I2"/>
    <mergeCell ref="D4:J4"/>
    <mergeCell ref="E7:I7"/>
    <mergeCell ref="A14:J14"/>
    <mergeCell ref="A16:J16"/>
  </mergeCells>
  <printOptions horizontalCentered="1" verticalCentered="1"/>
  <pageMargins left="0.7" right="0.7" top="0.75" bottom="0.75" header="0.3" footer="0.3"/>
  <pageSetup scale="90" orientation="portrait" r:id="rId1"/>
  <drawing r:id="rId2"/>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5189B-E6B0-4C66-B570-8C9E5B2DCF27}">
  <sheetPr codeName="Sheet26">
    <tabColor rgb="FF002060"/>
    <pageSetUpPr fitToPage="1"/>
  </sheetPr>
  <dimension ref="A1:K46"/>
  <sheetViews>
    <sheetView showWhiteSpace="0" view="pageLayout" zoomScale="130" zoomScaleNormal="100" zoomScaleSheetLayoutView="115" zoomScalePageLayoutView="130" workbookViewId="0"/>
  </sheetViews>
  <sheetFormatPr defaultColWidth="22.5546875" defaultRowHeight="14.4"/>
  <cols>
    <col min="1" max="2" width="25.33203125" customWidth="1"/>
    <col min="3" max="3" width="0.33203125" customWidth="1"/>
    <col min="4" max="4" width="25.33203125" customWidth="1"/>
    <col min="5" max="5" width="25.44140625" customWidth="1"/>
  </cols>
  <sheetData>
    <row r="1" spans="1:11" ht="25.8">
      <c r="B1" s="306"/>
      <c r="C1" s="306"/>
      <c r="D1" s="306"/>
      <c r="E1" s="306"/>
    </row>
    <row r="2" spans="1:11" ht="25.8">
      <c r="B2" s="308"/>
      <c r="C2" s="308"/>
      <c r="D2" s="308"/>
      <c r="E2" s="308"/>
    </row>
    <row r="4" spans="1:11" ht="23.4">
      <c r="B4" s="307"/>
      <c r="C4" s="307"/>
      <c r="D4" s="307"/>
      <c r="E4" s="307"/>
    </row>
    <row r="5" spans="1:11" ht="20.25" customHeight="1">
      <c r="B5" s="307"/>
      <c r="C5" s="307"/>
      <c r="D5" s="307"/>
      <c r="E5" s="307"/>
    </row>
    <row r="6" spans="1:11" ht="22.5" customHeight="1">
      <c r="A6" s="851" t="str">
        <f>IF(INPUT!J4=FALSE,"PROPERTY TRANSFER VALUATION REPORT","NEW CONSTRUCTION VALUATION REPORT")</f>
        <v>PROPERTY TRANSFER VALUATION REPORT</v>
      </c>
      <c r="B6" s="851"/>
      <c r="C6" s="851"/>
      <c r="D6" s="851"/>
      <c r="E6" s="851"/>
    </row>
    <row r="7" spans="1:11">
      <c r="A7" s="849" t="s">
        <v>283</v>
      </c>
      <c r="B7" s="849"/>
      <c r="C7" s="849"/>
      <c r="D7" s="849"/>
      <c r="E7" s="1059"/>
      <c r="F7" s="302"/>
      <c r="G7" s="302"/>
      <c r="H7" s="302"/>
    </row>
    <row r="8" spans="1:11">
      <c r="B8" s="524" t="s">
        <v>301</v>
      </c>
      <c r="C8" s="524"/>
      <c r="D8" s="305">
        <f>INPUT!B30</f>
        <v>107350009</v>
      </c>
      <c r="I8" s="850" t="str">
        <f>'Subj Pics'!F26</f>
        <v>1215 GRAPHITE DR, CORONA, CA</v>
      </c>
      <c r="J8" s="850"/>
      <c r="K8" s="850"/>
    </row>
    <row r="9" spans="1:11">
      <c r="B9" s="515" t="str">
        <f>IF(INPUT!B31="","Intersection","Situs")</f>
        <v>Situs</v>
      </c>
      <c r="C9" s="515"/>
      <c r="D9" s="525" t="str">
        <f>IF(INPUT!B31="",INPUT!B43,INPUT!B31)</f>
        <v>1215 GRAPHITE DR</v>
      </c>
      <c r="I9" s="850"/>
      <c r="J9" s="850"/>
      <c r="K9" s="850"/>
    </row>
    <row r="10" spans="1:11">
      <c r="B10" s="524" t="s">
        <v>13</v>
      </c>
      <c r="C10" s="524"/>
      <c r="D10" s="305" t="str">
        <f>INPUT!B32</f>
        <v>CORONA</v>
      </c>
      <c r="G10" s="13" t="s">
        <v>297</v>
      </c>
    </row>
    <row r="11" spans="1:11">
      <c r="B11" s="524" t="s">
        <v>93</v>
      </c>
      <c r="C11" s="524"/>
      <c r="D11" s="305" t="str">
        <f>INPUT!B33</f>
        <v>Light Industrial</v>
      </c>
    </row>
    <row r="12" spans="1:11">
      <c r="A12" s="849" t="str">
        <f>INPUT!A9</f>
        <v>TRANSFER DETAILS</v>
      </c>
      <c r="B12" s="849"/>
      <c r="C12" s="849"/>
      <c r="D12" s="849"/>
      <c r="E12" s="1059"/>
    </row>
    <row r="13" spans="1:11">
      <c r="B13" s="522" t="str">
        <f>INPUT!A10</f>
        <v>Date of Transfer</v>
      </c>
      <c r="C13" s="522"/>
      <c r="D13" s="311">
        <f>INPUT!B10</f>
        <v>46031</v>
      </c>
      <c r="F13" s="302"/>
      <c r="G13" s="302"/>
      <c r="H13" s="302"/>
    </row>
    <row r="14" spans="1:11">
      <c r="B14" s="304" t="str">
        <f>INPUT!A12</f>
        <v>Transfer Document Number</v>
      </c>
      <c r="C14" s="304"/>
      <c r="D14" s="305" t="str">
        <f>INPUT!B12</f>
        <v>2026-0006707</v>
      </c>
    </row>
    <row r="15" spans="1:11">
      <c r="B15" s="515" t="str">
        <f>INPUT!A13</f>
        <v>Ratio Code</v>
      </c>
      <c r="C15" s="515"/>
      <c r="D15" s="523" t="str">
        <f>INPUT!B13</f>
        <v>STT</v>
      </c>
    </row>
    <row r="16" spans="1:11">
      <c r="A16" s="849" t="s">
        <v>284</v>
      </c>
      <c r="B16" s="849"/>
      <c r="C16" s="849"/>
      <c r="D16" s="849"/>
      <c r="E16" s="1059"/>
    </row>
    <row r="17" spans="1:8">
      <c r="A17" s="303"/>
      <c r="B17" s="312" t="str">
        <f>INPUT!A24</f>
        <v>Sale Price</v>
      </c>
      <c r="C17" s="312"/>
      <c r="D17" s="313">
        <f>INPUT!B24</f>
        <v>3928960</v>
      </c>
      <c r="E17" s="303"/>
    </row>
    <row r="18" spans="1:8">
      <c r="B18" s="312" t="str">
        <f>IF(INPUT!J4=FALSE,"Actual Value Enrolled","Future T.I. &amp; Lease Up Loss")</f>
        <v>Actual Value Enrolled</v>
      </c>
      <c r="C18" s="312"/>
      <c r="D18" s="313">
        <f>IF(INPUT!J4=FALSE,INPUT!B26,INPUT!B25)</f>
        <v>3928960</v>
      </c>
      <c r="F18" s="302"/>
      <c r="G18" s="302"/>
      <c r="H18" s="302"/>
    </row>
    <row r="19" spans="1:8">
      <c r="B19" s="304" t="str">
        <f>IF(INPUT!J4=FALSE,"Actual Value Enrolled","Total Posted")</f>
        <v>Actual Value Enrolled</v>
      </c>
      <c r="C19" s="304"/>
      <c r="D19" s="313">
        <f>INPUT!B26</f>
        <v>3928960</v>
      </c>
    </row>
    <row r="20" spans="1:8">
      <c r="B20" s="304" t="str">
        <f>INPUT!A27</f>
        <v>Cumulative Delta</v>
      </c>
      <c r="C20" s="304"/>
      <c r="D20" s="313">
        <f>INPUT!B27</f>
        <v>0</v>
      </c>
    </row>
    <row r="21" spans="1:8">
      <c r="A21" s="849" t="s">
        <v>285</v>
      </c>
      <c r="B21" s="849"/>
      <c r="C21" s="849"/>
      <c r="D21" s="849"/>
      <c r="E21" s="1059"/>
    </row>
    <row r="22" spans="1:8">
      <c r="B22" s="312" t="s">
        <v>265</v>
      </c>
      <c r="C22" s="312"/>
      <c r="D22" s="305" t="str">
        <f>INPUT!B6</f>
        <v>Kyle Edmonds</v>
      </c>
    </row>
    <row r="23" spans="1:8">
      <c r="B23" s="312" t="s">
        <v>280</v>
      </c>
      <c r="C23" s="312"/>
      <c r="D23" s="305">
        <f>INPUT!B7</f>
        <v>677</v>
      </c>
      <c r="F23" s="302"/>
      <c r="G23" s="302"/>
      <c r="H23" s="302"/>
    </row>
    <row r="24" spans="1:8">
      <c r="B24" s="312" t="s">
        <v>302</v>
      </c>
      <c r="C24" s="312"/>
      <c r="D24" s="305" t="s">
        <v>299</v>
      </c>
    </row>
    <row r="25" spans="1:8">
      <c r="A25" s="854" t="s">
        <v>286</v>
      </c>
      <c r="B25" s="855"/>
      <c r="C25" s="855"/>
      <c r="D25" s="855"/>
      <c r="E25" s="856"/>
    </row>
    <row r="26" spans="1:8">
      <c r="A26" s="21"/>
      <c r="B26" s="21"/>
      <c r="C26" s="21"/>
      <c r="D26" s="21"/>
      <c r="E26" s="21"/>
      <c r="F26" s="302"/>
      <c r="G26" s="302"/>
      <c r="H26" s="302"/>
    </row>
    <row r="27" spans="1:8">
      <c r="A27" s="21"/>
      <c r="B27" s="21"/>
      <c r="C27" s="21"/>
      <c r="D27" s="21"/>
      <c r="E27" s="21"/>
    </row>
    <row r="28" spans="1:8">
      <c r="A28" s="21"/>
      <c r="B28" s="21"/>
      <c r="C28" s="21"/>
      <c r="D28" s="21"/>
      <c r="E28" s="21"/>
    </row>
    <row r="29" spans="1:8">
      <c r="A29" s="21"/>
      <c r="B29" s="21"/>
      <c r="C29" s="21"/>
      <c r="D29" s="21"/>
      <c r="E29" s="21"/>
    </row>
    <row r="30" spans="1:8">
      <c r="A30" s="21"/>
      <c r="B30" s="21"/>
      <c r="C30" s="21"/>
      <c r="D30" s="21"/>
      <c r="E30" s="21"/>
    </row>
    <row r="31" spans="1:8">
      <c r="A31" s="21"/>
      <c r="B31" s="21"/>
      <c r="C31" s="21"/>
      <c r="D31" s="21"/>
      <c r="E31" s="21"/>
    </row>
    <row r="32" spans="1:8">
      <c r="A32" s="21"/>
      <c r="B32" s="21"/>
      <c r="C32" s="21"/>
      <c r="D32" s="21"/>
      <c r="E32" s="21"/>
    </row>
    <row r="33" spans="1:5">
      <c r="A33" s="21"/>
      <c r="B33" s="848" t="s">
        <v>287</v>
      </c>
      <c r="C33" s="848"/>
      <c r="D33" s="848"/>
      <c r="E33" s="21"/>
    </row>
    <row r="34" spans="1:5">
      <c r="A34" s="21"/>
      <c r="B34" s="21"/>
      <c r="C34" s="21"/>
      <c r="D34" s="21"/>
      <c r="E34" s="21"/>
    </row>
    <row r="35" spans="1:5">
      <c r="A35" s="21"/>
      <c r="B35" s="21"/>
      <c r="C35" s="21"/>
      <c r="D35" s="21"/>
      <c r="E35" s="21"/>
    </row>
    <row r="36" spans="1:5">
      <c r="A36" s="21"/>
      <c r="B36" s="21"/>
      <c r="C36" s="21"/>
      <c r="D36" s="21"/>
      <c r="E36" s="21"/>
    </row>
    <row r="37" spans="1:5">
      <c r="A37" s="21"/>
      <c r="B37" s="21"/>
      <c r="C37" s="21"/>
      <c r="D37" s="21"/>
      <c r="E37" s="21"/>
    </row>
    <row r="38" spans="1:5">
      <c r="A38" s="21"/>
      <c r="B38" s="21"/>
      <c r="C38" s="21"/>
      <c r="D38" s="21"/>
      <c r="E38" s="21"/>
    </row>
    <row r="39" spans="1:5">
      <c r="A39" s="21"/>
      <c r="B39" s="21"/>
      <c r="C39" s="21"/>
      <c r="D39" s="21"/>
      <c r="E39" s="21"/>
    </row>
    <row r="40" spans="1:5">
      <c r="A40" s="21"/>
      <c r="B40" s="21"/>
      <c r="C40" s="21"/>
      <c r="D40" s="21"/>
      <c r="E40" s="21"/>
    </row>
    <row r="41" spans="1:5">
      <c r="A41" s="21"/>
      <c r="B41" s="21"/>
      <c r="C41" s="21"/>
      <c r="D41" s="21"/>
      <c r="E41" s="21"/>
    </row>
    <row r="42" spans="1:5">
      <c r="A42" s="21"/>
      <c r="B42" s="21"/>
      <c r="C42" s="21"/>
      <c r="D42" s="21"/>
      <c r="E42" s="21"/>
    </row>
    <row r="43" spans="1:5">
      <c r="A43" s="21"/>
      <c r="B43" s="21"/>
      <c r="C43" s="21"/>
      <c r="D43" s="21"/>
      <c r="E43" s="21"/>
    </row>
    <row r="44" spans="1:5">
      <c r="A44" s="21"/>
      <c r="B44" s="21"/>
      <c r="C44" s="21"/>
      <c r="D44" s="21"/>
      <c r="E44" s="21"/>
    </row>
    <row r="45" spans="1:5">
      <c r="A45" s="21"/>
      <c r="B45" s="21"/>
      <c r="C45" s="21"/>
      <c r="D45" s="21"/>
      <c r="E45" s="21"/>
    </row>
    <row r="46" spans="1:5">
      <c r="A46" s="21"/>
      <c r="B46" s="21"/>
      <c r="C46" s="21"/>
      <c r="D46" s="21"/>
      <c r="E46" s="21"/>
    </row>
  </sheetData>
  <sheetProtection formatColumns="0" formatRows="0" insertColumns="0" insertRows="0"/>
  <mergeCells count="8">
    <mergeCell ref="A25:E25"/>
    <mergeCell ref="B33:D33"/>
    <mergeCell ref="A6:E6"/>
    <mergeCell ref="A7:E7"/>
    <mergeCell ref="I8:K9"/>
    <mergeCell ref="A12:E12"/>
    <mergeCell ref="A16:E16"/>
    <mergeCell ref="A21:E21"/>
  </mergeCells>
  <printOptions horizontalCentered="1"/>
  <pageMargins left="0.25" right="0.25" top="0.75" bottom="0.75" header="0.3" footer="0.3"/>
  <pageSetup scale="43" orientation="portrait" r:id="rId1"/>
  <colBreaks count="1" manualBreakCount="1">
    <brk id="5"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27329" r:id="rId4" name="Button 1">
              <controlPr defaultSize="0" print="0" autoFill="0" autoPict="0" macro="[0]!PasteImage_Slot10">
                <anchor moveWithCells="1" sizeWithCells="1">
                  <from>
                    <xdr:col>5</xdr:col>
                    <xdr:colOff>160020</xdr:colOff>
                    <xdr:row>8</xdr:row>
                    <xdr:rowOff>60960</xdr:rowOff>
                  </from>
                  <to>
                    <xdr:col>6</xdr:col>
                    <xdr:colOff>30480</xdr:colOff>
                    <xdr:row>10</xdr:row>
                    <xdr:rowOff>152400</xdr:rowOff>
                  </to>
                </anchor>
              </controlPr>
            </control>
          </mc:Choice>
        </mc:AlternateContent>
        <mc:AlternateContent xmlns:mc="http://schemas.openxmlformats.org/markup-compatibility/2006">
          <mc:Choice Requires="x14">
            <control shapeId="227330" r:id="rId5" name="Button 2">
              <controlPr defaultSize="0" print="0" autoFill="0" autoPict="0" macro="[0]!InsertSatellite_Slot10">
                <anchor moveWithCells="1" sizeWithCells="1">
                  <from>
                    <xdr:col>6</xdr:col>
                    <xdr:colOff>769620</xdr:colOff>
                    <xdr:row>8</xdr:row>
                    <xdr:rowOff>60960</xdr:rowOff>
                  </from>
                  <to>
                    <xdr:col>7</xdr:col>
                    <xdr:colOff>640080</xdr:colOff>
                    <xdr:row>10</xdr:row>
                    <xdr:rowOff>152400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6E0B4-2FB5-4E5B-99DC-0B0753D87186}">
  <sheetPr codeName="Sheet25">
    <tabColor theme="9" tint="-0.249977111117893"/>
  </sheetPr>
  <dimension ref="A1:N50"/>
  <sheetViews>
    <sheetView showZeros="0" view="pageLayout" zoomScaleNormal="70" zoomScaleSheetLayoutView="145" workbookViewId="0">
      <selection activeCell="C6" sqref="C6"/>
    </sheetView>
  </sheetViews>
  <sheetFormatPr defaultColWidth="9.109375" defaultRowHeight="13.8"/>
  <cols>
    <col min="1" max="1" width="32.88671875" style="24" customWidth="1"/>
    <col min="2" max="2" width="4.88671875" style="24" customWidth="1"/>
    <col min="3" max="3" width="22.6640625" style="24" customWidth="1"/>
    <col min="4" max="4" width="4.33203125" style="24" customWidth="1"/>
    <col min="5" max="5" width="3.6640625" style="24" customWidth="1"/>
    <col min="6" max="6" width="15.109375" style="24" customWidth="1"/>
    <col min="7" max="7" width="4.33203125" style="24" customWidth="1"/>
    <col min="8" max="16384" width="9.109375" style="24"/>
  </cols>
  <sheetData>
    <row r="1" spans="1:7" ht="18">
      <c r="A1" s="844" t="s">
        <v>43</v>
      </c>
      <c r="B1" s="844"/>
      <c r="C1" s="844"/>
      <c r="D1" s="844"/>
      <c r="E1" s="844"/>
      <c r="F1" s="844"/>
      <c r="G1" s="844"/>
    </row>
    <row r="2" spans="1:7" ht="15.6">
      <c r="A2" s="34"/>
      <c r="B2" s="34"/>
      <c r="C2" s="34"/>
      <c r="D2" s="34"/>
      <c r="E2" s="34"/>
      <c r="F2" s="34"/>
      <c r="G2" s="34"/>
    </row>
    <row r="3" spans="1:7" ht="16.2" thickBot="1">
      <c r="A3" s="31" t="s">
        <v>42</v>
      </c>
      <c r="B3" s="31"/>
      <c r="C3" s="43">
        <f>INPUT!B16</f>
        <v>0</v>
      </c>
      <c r="D3" s="43"/>
      <c r="E3" s="31"/>
      <c r="F3" s="31"/>
      <c r="G3" s="34"/>
    </row>
    <row r="4" spans="1:7" ht="15.6">
      <c r="A4" s="31"/>
      <c r="B4" s="31"/>
      <c r="C4" s="44"/>
      <c r="D4" s="44"/>
      <c r="E4" s="31"/>
      <c r="F4" s="31"/>
      <c r="G4" s="34"/>
    </row>
    <row r="5" spans="1:7" ht="16.2" thickBot="1">
      <c r="A5" s="31" t="s">
        <v>2</v>
      </c>
      <c r="B5" s="31"/>
      <c r="C5" s="45">
        <f>INPUT!B17</f>
        <v>0</v>
      </c>
      <c r="D5" s="43"/>
      <c r="E5" s="31"/>
      <c r="F5" s="31"/>
      <c r="G5" s="34"/>
    </row>
    <row r="6" spans="1:7" ht="15.6">
      <c r="A6" s="31"/>
      <c r="B6" s="31"/>
      <c r="C6" s="44"/>
      <c r="D6" s="44"/>
      <c r="E6" s="31"/>
      <c r="F6" s="31"/>
      <c r="G6" s="34"/>
    </row>
    <row r="7" spans="1:7" ht="16.2" thickBot="1">
      <c r="A7" s="31" t="s">
        <v>1</v>
      </c>
      <c r="B7" s="31"/>
      <c r="C7" s="43">
        <f>INPUT!B30</f>
        <v>107350009</v>
      </c>
      <c r="D7" s="43"/>
      <c r="E7" s="31"/>
      <c r="F7" s="31"/>
      <c r="G7" s="34"/>
    </row>
    <row r="8" spans="1:7" ht="15.6">
      <c r="A8" s="31"/>
      <c r="B8" s="31"/>
      <c r="C8" s="44"/>
      <c r="D8" s="44"/>
      <c r="E8" s="31"/>
      <c r="F8" s="31"/>
      <c r="G8" s="34"/>
    </row>
    <row r="9" spans="1:7" ht="16.2" thickBot="1">
      <c r="A9" s="31" t="s">
        <v>41</v>
      </c>
      <c r="B9" s="31"/>
      <c r="C9" s="43" t="str">
        <f>INPUT!B6</f>
        <v>Kyle Edmonds</v>
      </c>
      <c r="D9" s="43"/>
      <c r="E9" s="31"/>
      <c r="F9" s="31"/>
      <c r="G9" s="34"/>
    </row>
    <row r="10" spans="1:7" ht="15.6">
      <c r="A10" s="31"/>
      <c r="B10" s="31"/>
      <c r="C10" s="31"/>
      <c r="D10" s="31"/>
      <c r="E10" s="31"/>
      <c r="F10" s="31"/>
      <c r="G10" s="34"/>
    </row>
    <row r="11" spans="1:7" ht="15.6">
      <c r="A11" s="31"/>
      <c r="B11" s="31"/>
      <c r="C11" s="31"/>
      <c r="D11" s="31"/>
      <c r="E11" s="31"/>
      <c r="F11" s="31"/>
      <c r="G11" s="34"/>
    </row>
    <row r="12" spans="1:7" ht="16.2" thickBot="1">
      <c r="A12" s="31" t="s">
        <v>3</v>
      </c>
      <c r="B12" s="31"/>
      <c r="C12" s="31"/>
      <c r="D12" s="31"/>
      <c r="E12" s="31"/>
      <c r="F12" s="42">
        <f>INPUT!B25</f>
        <v>0</v>
      </c>
      <c r="G12" s="32"/>
    </row>
    <row r="13" spans="1:7" ht="16.2" thickBot="1">
      <c r="A13" s="31" t="s">
        <v>5</v>
      </c>
      <c r="B13" s="31"/>
      <c r="C13" s="31"/>
      <c r="D13" s="31"/>
      <c r="E13" s="31"/>
      <c r="F13" s="42">
        <f>INPUT!B26</f>
        <v>3928960</v>
      </c>
      <c r="G13" s="32"/>
    </row>
    <row r="14" spans="1:7" ht="16.2" thickBot="1">
      <c r="A14" s="31" t="s">
        <v>4</v>
      </c>
      <c r="B14" s="31"/>
      <c r="C14" s="31"/>
      <c r="D14" s="31"/>
      <c r="E14" s="31"/>
      <c r="F14" s="42">
        <f>INPUT!B27</f>
        <v>0</v>
      </c>
      <c r="G14" s="32"/>
    </row>
    <row r="15" spans="1:7" ht="16.2" thickBot="1">
      <c r="A15" s="31"/>
      <c r="B15" s="31"/>
      <c r="C15" s="31"/>
      <c r="D15" s="31"/>
      <c r="E15" s="31"/>
      <c r="F15" s="31"/>
      <c r="G15" s="34"/>
    </row>
    <row r="16" spans="1:7" ht="16.2" thickBot="1">
      <c r="A16" s="31" t="s">
        <v>6</v>
      </c>
      <c r="B16" s="31"/>
      <c r="C16" s="31" t="s">
        <v>40</v>
      </c>
      <c r="D16" s="39" t="str">
        <f>IF(INPUT!M3=TRUE,"X","")</f>
        <v/>
      </c>
      <c r="E16" s="31"/>
      <c r="F16" s="31" t="s">
        <v>39</v>
      </c>
      <c r="G16" s="39" t="str">
        <f>IF(INPUT!M2=TRUE,"X","")</f>
        <v/>
      </c>
    </row>
    <row r="17" spans="1:7" ht="16.2" thickBot="1">
      <c r="A17" s="31"/>
      <c r="B17" s="31"/>
      <c r="C17" s="31"/>
      <c r="D17" s="31"/>
      <c r="E17" s="31"/>
      <c r="F17" s="31"/>
      <c r="G17" s="34"/>
    </row>
    <row r="18" spans="1:7" ht="16.2" thickBot="1">
      <c r="A18" s="31" t="s">
        <v>7</v>
      </c>
      <c r="B18" s="31"/>
      <c r="C18" s="31" t="s">
        <v>38</v>
      </c>
      <c r="D18" s="39" t="str">
        <f>IF(INPUT!G2=TRUE,"X","")</f>
        <v>X</v>
      </c>
      <c r="E18" s="31"/>
      <c r="F18" s="31" t="s">
        <v>37</v>
      </c>
      <c r="G18" s="41" t="str">
        <f>IF(INPUT!G3=TRUE,"X","")</f>
        <v/>
      </c>
    </row>
    <row r="19" spans="1:7" ht="16.2" thickBot="1">
      <c r="A19" s="31"/>
      <c r="B19" s="31"/>
      <c r="C19" s="31"/>
      <c r="D19" s="31"/>
      <c r="E19" s="31"/>
      <c r="F19" s="31"/>
      <c r="G19" s="34"/>
    </row>
    <row r="20" spans="1:7" ht="16.2" thickBot="1">
      <c r="A20" s="31"/>
      <c r="B20" s="31"/>
      <c r="C20" s="31" t="s">
        <v>36</v>
      </c>
      <c r="D20" s="39" t="s">
        <v>157</v>
      </c>
      <c r="E20" s="31"/>
      <c r="F20" s="31" t="s">
        <v>35</v>
      </c>
      <c r="G20" s="40"/>
    </row>
    <row r="21" spans="1:7" ht="16.2" thickBot="1">
      <c r="A21" s="31"/>
      <c r="B21" s="31"/>
      <c r="C21" s="34"/>
      <c r="D21" s="34"/>
      <c r="E21" s="31"/>
      <c r="F21" s="34"/>
      <c r="G21" s="34"/>
    </row>
    <row r="22" spans="1:7" ht="16.2" thickBot="1">
      <c r="A22" s="31"/>
      <c r="B22" s="31"/>
      <c r="C22" s="31" t="s">
        <v>34</v>
      </c>
      <c r="D22" s="39" t="s">
        <v>20</v>
      </c>
      <c r="E22" s="31"/>
      <c r="F22" s="31" t="s">
        <v>33</v>
      </c>
      <c r="G22" s="37"/>
    </row>
    <row r="23" spans="1:7" ht="16.2" thickBot="1">
      <c r="A23" s="31"/>
      <c r="B23" s="31"/>
      <c r="C23" s="34"/>
      <c r="D23" s="34"/>
      <c r="E23" s="31"/>
      <c r="F23" s="34"/>
      <c r="G23" s="34"/>
    </row>
    <row r="24" spans="1:7" ht="16.2" thickBot="1">
      <c r="A24" s="31"/>
      <c r="B24" s="31"/>
      <c r="C24" s="31" t="s">
        <v>32</v>
      </c>
      <c r="D24" s="38"/>
      <c r="E24" s="31"/>
      <c r="F24" s="31" t="s">
        <v>31</v>
      </c>
      <c r="G24" s="37"/>
    </row>
    <row r="25" spans="1:7" ht="15.6">
      <c r="A25" s="31"/>
      <c r="B25" s="31"/>
      <c r="C25" s="31"/>
      <c r="D25" s="31"/>
      <c r="E25" s="31"/>
      <c r="F25" s="31"/>
      <c r="G25" s="34"/>
    </row>
    <row r="26" spans="1:7" ht="15.6">
      <c r="A26" s="31"/>
      <c r="B26" s="31"/>
      <c r="C26" s="31"/>
      <c r="D26" s="31"/>
      <c r="E26" s="31"/>
      <c r="F26" s="31"/>
      <c r="G26" s="34"/>
    </row>
    <row r="27" spans="1:7" ht="16.2" thickBot="1">
      <c r="A27" s="31" t="s">
        <v>8</v>
      </c>
      <c r="B27" s="31"/>
      <c r="C27" s="36">
        <f>INPUT!B38</f>
        <v>0.68</v>
      </c>
      <c r="D27" s="33"/>
      <c r="E27" s="31"/>
      <c r="F27" s="31"/>
      <c r="G27" s="34"/>
    </row>
    <row r="28" spans="1:7" ht="15.6">
      <c r="A28" s="31"/>
      <c r="B28" s="31"/>
      <c r="C28" s="31"/>
      <c r="D28" s="31"/>
      <c r="E28" s="31"/>
      <c r="F28" s="31"/>
      <c r="G28" s="34"/>
    </row>
    <row r="29" spans="1:7" ht="16.2" thickBot="1">
      <c r="A29" s="31" t="s">
        <v>30</v>
      </c>
      <c r="B29" s="31"/>
      <c r="C29" s="35" t="str">
        <f>INPUT!B32</f>
        <v>CORONA</v>
      </c>
      <c r="D29" s="33"/>
      <c r="E29" s="33"/>
      <c r="F29" s="33"/>
      <c r="G29" s="32"/>
    </row>
    <row r="30" spans="1:7" ht="15.6">
      <c r="A30" s="31"/>
      <c r="B30" s="31"/>
      <c r="C30" s="31"/>
      <c r="D30" s="31"/>
      <c r="E30" s="31"/>
      <c r="F30" s="31"/>
      <c r="G30" s="34"/>
    </row>
    <row r="31" spans="1:7" ht="16.2" thickBot="1">
      <c r="A31" s="31" t="s">
        <v>29</v>
      </c>
      <c r="B31" s="31"/>
      <c r="C31" s="35" t="str">
        <f>INPUT!B31</f>
        <v>1215 GRAPHITE DR</v>
      </c>
      <c r="D31" s="33"/>
      <c r="E31" s="33"/>
      <c r="F31" s="33"/>
      <c r="G31" s="32"/>
    </row>
    <row r="32" spans="1:7" ht="15.6">
      <c r="A32" s="31"/>
      <c r="B32" s="31"/>
      <c r="C32" s="31"/>
      <c r="D32" s="31"/>
      <c r="E32" s="31"/>
      <c r="F32" s="31"/>
      <c r="G32" s="34"/>
    </row>
    <row r="33" spans="1:14" ht="16.2" thickBot="1">
      <c r="A33" s="31" t="s">
        <v>28</v>
      </c>
      <c r="B33" s="31"/>
      <c r="C33" s="35" t="str">
        <f>INPUT!B43</f>
        <v>GRAPHITE DR &amp; CALIFORNIA AVE</v>
      </c>
      <c r="D33" s="33"/>
      <c r="E33" s="33"/>
      <c r="F33" s="33"/>
      <c r="G33" s="32"/>
    </row>
    <row r="34" spans="1:14" ht="15.6">
      <c r="A34" s="233"/>
      <c r="B34" s="233"/>
      <c r="C34" s="233"/>
      <c r="D34" s="233"/>
      <c r="E34" s="233"/>
      <c r="F34" s="233"/>
      <c r="G34" s="106"/>
      <c r="H34" s="139"/>
      <c r="I34" s="139"/>
      <c r="J34" s="139"/>
      <c r="K34" s="139"/>
      <c r="L34" s="139"/>
      <c r="M34" s="139"/>
      <c r="N34" s="139"/>
    </row>
    <row r="35" spans="1:14" ht="15.6">
      <c r="A35" s="233" t="s">
        <v>9</v>
      </c>
      <c r="B35" s="233"/>
      <c r="C35" s="845" t="str">
        <f>"Sales comparison approach and income approach results correlated to "&amp;TEXT(INPUT!B26,"$#,##0")&amp;", or $"&amp;ROUND(INPUT!B26/INPUT!B35,0)&amp;"/sqft."</f>
        <v>Sales comparison approach and income approach results correlated to $3,928,960, or $375/sqft.</v>
      </c>
      <c r="D35" s="845"/>
      <c r="E35" s="845"/>
      <c r="F35" s="845"/>
      <c r="G35" s="845"/>
      <c r="H35" s="139"/>
      <c r="I35" s="139"/>
      <c r="J35" s="139"/>
      <c r="K35" s="139"/>
      <c r="L35" s="139"/>
      <c r="M35" s="139"/>
      <c r="N35" s="139"/>
    </row>
    <row r="36" spans="1:14" ht="15.6">
      <c r="A36" s="34"/>
      <c r="B36" s="31"/>
      <c r="C36" s="846"/>
      <c r="D36" s="846"/>
      <c r="E36" s="846"/>
      <c r="F36" s="846"/>
      <c r="G36" s="846"/>
    </row>
    <row r="37" spans="1:14" ht="16.2" thickBot="1">
      <c r="A37" s="31"/>
      <c r="B37" s="31"/>
      <c r="C37" s="847"/>
      <c r="D37" s="847"/>
      <c r="E37" s="847"/>
      <c r="F37" s="847"/>
      <c r="G37" s="847"/>
    </row>
    <row r="38" spans="1:14" ht="15.6">
      <c r="A38" s="30"/>
      <c r="B38" s="30"/>
      <c r="C38" s="29"/>
      <c r="D38" s="29"/>
      <c r="E38" s="29"/>
      <c r="F38" s="29"/>
      <c r="G38" s="28"/>
    </row>
    <row r="39" spans="1:14" ht="18">
      <c r="A39" s="27"/>
      <c r="B39" s="26"/>
      <c r="C39" s="26"/>
      <c r="D39" s="26"/>
      <c r="E39" s="26"/>
      <c r="F39" s="26"/>
    </row>
    <row r="43" spans="1:14">
      <c r="C43" s="25"/>
    </row>
    <row r="44" spans="1:14">
      <c r="C44" s="25"/>
    </row>
    <row r="45" spans="1:14">
      <c r="C45" s="25"/>
    </row>
    <row r="46" spans="1:14">
      <c r="C46" s="25"/>
    </row>
    <row r="49" spans="3:3">
      <c r="C49" s="25"/>
    </row>
    <row r="50" spans="3:3">
      <c r="C50" s="25"/>
    </row>
  </sheetData>
  <sheetProtection selectLockedCells="1"/>
  <mergeCells count="2">
    <mergeCell ref="A1:G1"/>
    <mergeCell ref="C35:G37"/>
  </mergeCells>
  <printOptions horizontalCentered="1"/>
  <pageMargins left="0.7" right="0.7" top="0.75" bottom="0.75" header="0.3" footer="0.3"/>
  <pageSetup orientation="portrait" r:id="rId1"/>
  <headerFooter>
    <oddFooter>Page &amp;P</oddFooter>
  </headerFooter>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BB4AB-9EE7-446C-A1C4-6910A412541F}">
  <sheetPr codeName="Sheet24"/>
  <dimension ref="A1"/>
  <sheetViews>
    <sheetView workbookViewId="0"/>
  </sheetViews>
  <sheetFormatPr defaultRowHeight="14.4"/>
  <cols>
    <col min="1" max="1" width="4.44140625" bestFit="1" customWidth="1"/>
    <col min="2" max="2" width="11.44140625" bestFit="1" customWidth="1"/>
    <col min="3" max="3" width="13.88671875" bestFit="1" customWidth="1"/>
    <col min="4" max="4" width="28.44140625" bestFit="1" customWidth="1"/>
    <col min="5" max="5" width="10" bestFit="1" customWidth="1"/>
    <col min="6" max="6" width="10.6640625" bestFit="1" customWidth="1"/>
    <col min="7" max="7" width="9.5546875" bestFit="1" customWidth="1"/>
    <col min="8" max="8" width="12.88671875" bestFit="1" customWidth="1"/>
    <col min="9" max="9" width="23.88671875" bestFit="1" customWidth="1"/>
    <col min="10" max="10" width="17.33203125" bestFit="1" customWidth="1"/>
    <col min="11" max="11" width="12.6640625" bestFit="1" customWidth="1"/>
    <col min="12" max="12" width="12.33203125" bestFit="1" customWidth="1"/>
    <col min="13" max="13" width="9.6640625" bestFit="1" customWidth="1"/>
    <col min="14" max="14" width="10.44140625" bestFit="1" customWidth="1"/>
    <col min="15" max="15" width="18.109375" bestFit="1" customWidth="1"/>
    <col min="16" max="16" width="14" bestFit="1" customWidth="1"/>
    <col min="17" max="17" width="20.88671875" bestFit="1" customWidth="1"/>
    <col min="18" max="18" width="5.88671875" bestFit="1" customWidth="1"/>
    <col min="19" max="19" width="17.5546875" bestFit="1" customWidth="1"/>
    <col min="20" max="20" width="15.109375" bestFit="1" customWidth="1"/>
    <col min="21" max="21" width="15.5546875" bestFit="1" customWidth="1"/>
    <col min="22" max="22" width="19.33203125" bestFit="1" customWidth="1"/>
    <col min="23" max="23" width="14.6640625" bestFit="1" customWidth="1"/>
    <col min="24" max="25" width="18.44140625" bestFit="1" customWidth="1"/>
    <col min="26" max="26" width="18.5546875" bestFit="1" customWidth="1"/>
    <col min="27" max="27" width="12.44140625" bestFit="1" customWidth="1"/>
    <col min="28" max="28" width="10" bestFit="1" customWidth="1"/>
    <col min="29" max="29" width="16.44140625" bestFit="1" customWidth="1"/>
    <col min="30" max="30" width="14.88671875" bestFit="1" customWidth="1"/>
    <col min="31" max="31" width="15.109375" bestFit="1" customWidth="1"/>
  </cols>
  <sheetData>
    <row r="1" spans="1:1">
      <c r="A1" s="717" t="s">
        <v>25</v>
      </c>
    </row>
  </sheetData>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CF42FC-1285-42D2-B532-DF9D2E044A77}">
  <sheetPr codeName="Sheet21"/>
  <dimension ref="A1:AO210"/>
  <sheetViews>
    <sheetView showZeros="0" zoomScale="125" zoomScaleNormal="125" workbookViewId="0"/>
  </sheetViews>
  <sheetFormatPr defaultColWidth="8.88671875" defaultRowHeight="14.4"/>
  <cols>
    <col min="1" max="1" width="9.5546875" style="686" customWidth="1"/>
    <col min="2" max="2" width="16" style="686" customWidth="1"/>
    <col min="3" max="3" width="14.44140625" style="689" customWidth="1"/>
    <col min="4" max="4" width="4.6640625" style="690" hidden="1" customWidth="1"/>
    <col min="5" max="5" width="13.88671875" style="690" customWidth="1"/>
    <col min="6" max="6" width="9.44140625" style="691" customWidth="1"/>
    <col min="7" max="8" width="4.6640625" style="686" hidden="1" customWidth="1"/>
    <col min="9" max="9" width="15.109375" style="686" customWidth="1"/>
    <col min="10" max="13" width="4.6640625" style="686" hidden="1" customWidth="1"/>
    <col min="14" max="14" width="29" style="686" customWidth="1"/>
    <col min="15" max="15" width="12.88671875" style="686" customWidth="1"/>
    <col min="16" max="16" width="9.33203125" style="686" customWidth="1"/>
    <col min="17" max="17" width="4.6640625" style="692" hidden="1" customWidth="1"/>
    <col min="18" max="21" width="4.6640625" style="686" hidden="1" customWidth="1"/>
    <col min="22" max="22" width="17.33203125" style="686" customWidth="1"/>
    <col min="23" max="26" width="4.6640625" style="686" hidden="1" customWidth="1"/>
    <col min="27" max="27" width="20.33203125" customWidth="1"/>
    <col min="28" max="28" width="11.5546875" bestFit="1" customWidth="1"/>
    <col min="29" max="30" width="26.6640625" style="12" bestFit="1" customWidth="1"/>
    <col min="31" max="31" width="9.109375" customWidth="1"/>
    <col min="32" max="32" width="1.109375" style="685" hidden="1" customWidth="1"/>
    <col min="33" max="33" width="14.44140625" style="685" bestFit="1" customWidth="1"/>
    <col min="34" max="34" width="7.44140625" bestFit="1" customWidth="1"/>
    <col min="35" max="35" width="12.6640625" bestFit="1" customWidth="1"/>
    <col min="36" max="37" width="14.44140625" bestFit="1" customWidth="1"/>
    <col min="39" max="39" width="12.6640625" bestFit="1" customWidth="1"/>
    <col min="40" max="41" width="16.33203125" bestFit="1" customWidth="1"/>
  </cols>
  <sheetData>
    <row r="1" spans="1:41" s="13" customFormat="1">
      <c r="A1" s="683"/>
      <c r="B1" s="683"/>
      <c r="C1" s="705"/>
      <c r="D1" s="706"/>
      <c r="E1" s="706"/>
      <c r="F1" s="707"/>
      <c r="G1" s="683"/>
      <c r="H1" s="683"/>
      <c r="I1" s="683"/>
      <c r="J1" s="683"/>
      <c r="K1" s="683"/>
      <c r="L1" s="683"/>
      <c r="M1" s="683"/>
      <c r="N1" s="683"/>
      <c r="O1" s="683"/>
      <c r="P1" s="683"/>
      <c r="Q1" s="708"/>
      <c r="R1" s="683"/>
      <c r="S1" s="683"/>
      <c r="T1" s="683"/>
      <c r="U1" s="683"/>
      <c r="V1" s="683"/>
      <c r="W1" s="683"/>
      <c r="X1" s="683"/>
      <c r="Y1" s="683"/>
      <c r="Z1" s="683"/>
      <c r="AA1" s="684"/>
      <c r="AB1"/>
      <c r="AC1" s="12"/>
      <c r="AD1" s="12"/>
      <c r="AE1"/>
      <c r="AF1" s="685"/>
      <c r="AG1" s="685"/>
      <c r="AI1" s="843"/>
      <c r="AJ1" s="843"/>
      <c r="AK1" s="843"/>
      <c r="AM1" s="843"/>
      <c r="AN1" s="843"/>
      <c r="AO1" s="843"/>
    </row>
    <row r="2" spans="1:41">
      <c r="A2" s="683"/>
      <c r="I2" s="709"/>
      <c r="P2" s="692"/>
      <c r="AA2" s="684"/>
      <c r="AB2" s="684"/>
      <c r="AC2" s="684"/>
      <c r="AD2" s="684"/>
      <c r="AI2" s="13"/>
      <c r="AJ2" s="13"/>
      <c r="AK2" s="13"/>
      <c r="AM2" s="13"/>
      <c r="AN2" s="13"/>
      <c r="AO2" s="13"/>
    </row>
    <row r="3" spans="1:41" s="7" customFormat="1">
      <c r="A3" s="684"/>
      <c r="B3" s="684"/>
      <c r="C3" s="710"/>
      <c r="D3" s="711"/>
      <c r="E3" s="711"/>
      <c r="F3" s="712"/>
      <c r="G3" s="684"/>
      <c r="H3" s="684"/>
      <c r="I3" s="684"/>
      <c r="J3" s="684"/>
      <c r="K3" s="684"/>
      <c r="L3" s="684"/>
      <c r="M3" s="684"/>
      <c r="N3" s="684"/>
      <c r="O3" s="684"/>
      <c r="P3" s="684"/>
      <c r="Q3" s="713"/>
      <c r="R3" s="684"/>
      <c r="S3" s="684"/>
      <c r="T3" s="684"/>
      <c r="U3" s="684"/>
      <c r="V3" s="684"/>
      <c r="W3" s="684"/>
      <c r="X3" s="684"/>
      <c r="Y3" s="684"/>
      <c r="Z3" s="684"/>
      <c r="AA3" s="684"/>
      <c r="AB3" s="684"/>
      <c r="AC3" s="684"/>
      <c r="AD3" s="684"/>
      <c r="AF3" s="687"/>
      <c r="AG3" s="687"/>
      <c r="AH3" s="12"/>
      <c r="AJ3" s="12"/>
      <c r="AK3" s="12"/>
    </row>
    <row r="4" spans="1:41">
      <c r="AA4" s="688"/>
      <c r="AB4" s="688"/>
      <c r="AC4" s="694"/>
      <c r="AD4" s="694"/>
      <c r="AE4" s="714"/>
    </row>
    <row r="5" spans="1:41">
      <c r="AA5" s="688"/>
      <c r="AB5" s="688"/>
      <c r="AC5" s="694"/>
      <c r="AD5" s="694"/>
      <c r="AE5" s="714"/>
    </row>
    <row r="6" spans="1:41">
      <c r="AB6" s="688"/>
      <c r="AC6" s="694"/>
      <c r="AD6" s="715"/>
      <c r="AE6" s="714"/>
    </row>
    <row r="7" spans="1:41">
      <c r="AB7" s="688"/>
      <c r="AC7" s="694"/>
      <c r="AD7" s="694"/>
      <c r="AE7" s="714"/>
    </row>
    <row r="8" spans="1:41">
      <c r="AB8" s="688"/>
      <c r="AC8" s="694"/>
      <c r="AD8" s="694"/>
      <c r="AE8" s="714"/>
    </row>
    <row r="9" spans="1:41">
      <c r="AB9" s="688"/>
      <c r="AC9" s="694"/>
      <c r="AD9" s="716"/>
      <c r="AE9" s="12"/>
    </row>
    <row r="11" spans="1:41">
      <c r="AB11" s="684"/>
      <c r="AC11" s="684"/>
      <c r="AD11" s="684"/>
    </row>
    <row r="12" spans="1:41">
      <c r="AB12" s="684"/>
      <c r="AC12" s="684"/>
      <c r="AD12" s="684"/>
      <c r="AE12" s="7"/>
    </row>
    <row r="13" spans="1:41">
      <c r="AB13" s="688"/>
      <c r="AC13" s="694"/>
      <c r="AD13" s="694"/>
      <c r="AE13" s="714"/>
    </row>
    <row r="14" spans="1:41">
      <c r="AB14" s="688"/>
      <c r="AC14" s="694"/>
      <c r="AD14" s="694"/>
      <c r="AE14" s="714"/>
    </row>
    <row r="15" spans="1:41">
      <c r="AB15" s="688"/>
      <c r="AC15" s="694"/>
      <c r="AD15" s="715"/>
      <c r="AE15" s="714"/>
    </row>
    <row r="16" spans="1:41">
      <c r="AB16" s="688"/>
      <c r="AC16" s="694"/>
      <c r="AD16" s="694"/>
      <c r="AE16" s="714"/>
    </row>
    <row r="17" spans="1:31" s="685" customFormat="1">
      <c r="A17" s="686"/>
      <c r="B17" s="686"/>
      <c r="C17" s="689"/>
      <c r="D17" s="690"/>
      <c r="E17" s="690"/>
      <c r="F17" s="691"/>
      <c r="G17" s="686"/>
      <c r="H17" s="686"/>
      <c r="I17" s="686"/>
      <c r="J17" s="686"/>
      <c r="K17" s="686"/>
      <c r="L17" s="686"/>
      <c r="M17" s="686"/>
      <c r="N17" s="686"/>
      <c r="O17" s="686"/>
      <c r="P17" s="686"/>
      <c r="Q17" s="692"/>
      <c r="R17" s="686"/>
      <c r="S17" s="686"/>
      <c r="T17" s="686"/>
      <c r="U17" s="686"/>
      <c r="V17" s="686"/>
      <c r="W17" s="686"/>
      <c r="X17" s="686"/>
      <c r="Y17" s="686"/>
      <c r="Z17" s="686"/>
      <c r="AA17"/>
      <c r="AB17" s="688"/>
      <c r="AC17" s="694"/>
      <c r="AD17" s="694"/>
      <c r="AE17" s="714"/>
    </row>
    <row r="18" spans="1:31" s="685" customFormat="1">
      <c r="A18" s="686"/>
      <c r="B18" s="686"/>
      <c r="C18" s="689"/>
      <c r="D18" s="690"/>
      <c r="E18" s="690"/>
      <c r="F18" s="691"/>
      <c r="G18" s="686"/>
      <c r="H18" s="686"/>
      <c r="I18" s="686"/>
      <c r="J18" s="686"/>
      <c r="K18" s="686"/>
      <c r="L18" s="686"/>
      <c r="M18" s="686"/>
      <c r="N18" s="686"/>
      <c r="O18" s="686"/>
      <c r="P18" s="686"/>
      <c r="Q18" s="692"/>
      <c r="R18" s="686"/>
      <c r="S18" s="686"/>
      <c r="T18" s="686"/>
      <c r="U18" s="686"/>
      <c r="V18" s="686"/>
      <c r="W18" s="686"/>
      <c r="X18" s="686"/>
      <c r="Y18" s="686"/>
      <c r="Z18" s="686"/>
      <c r="AA18"/>
      <c r="AB18" s="688"/>
      <c r="AC18" s="694"/>
      <c r="AD18" s="716"/>
      <c r="AE18" s="12"/>
    </row>
    <row r="20" spans="1:31" s="685" customFormat="1">
      <c r="A20" s="686"/>
      <c r="B20" s="686"/>
      <c r="C20" s="689"/>
      <c r="D20" s="690"/>
      <c r="E20" s="690"/>
      <c r="F20" s="691"/>
      <c r="G20" s="686"/>
      <c r="H20" s="686"/>
      <c r="I20" s="686"/>
      <c r="J20" s="686"/>
      <c r="K20" s="686"/>
      <c r="L20" s="686"/>
      <c r="M20" s="686"/>
      <c r="N20" s="686"/>
      <c r="O20" s="686"/>
      <c r="P20" s="686"/>
      <c r="Q20" s="692"/>
      <c r="R20" s="686"/>
      <c r="S20" s="686"/>
      <c r="T20" s="686"/>
      <c r="U20" s="686"/>
      <c r="V20" s="686"/>
      <c r="W20" s="686"/>
      <c r="X20" s="686"/>
      <c r="Y20" s="686"/>
      <c r="Z20" s="686"/>
      <c r="AA20"/>
      <c r="AB20" s="684"/>
      <c r="AC20" s="684"/>
      <c r="AD20" s="684"/>
      <c r="AE20"/>
    </row>
    <row r="21" spans="1:31" s="685" customFormat="1">
      <c r="A21" s="686"/>
      <c r="B21" s="686"/>
      <c r="C21" s="689"/>
      <c r="D21" s="690"/>
      <c r="E21" s="690"/>
      <c r="F21" s="691"/>
      <c r="G21" s="686"/>
      <c r="H21" s="686"/>
      <c r="I21" s="686"/>
      <c r="J21" s="686"/>
      <c r="K21" s="686"/>
      <c r="L21" s="686"/>
      <c r="M21" s="686"/>
      <c r="N21" s="686"/>
      <c r="O21" s="686"/>
      <c r="P21" s="686"/>
      <c r="Q21" s="692"/>
      <c r="R21" s="686"/>
      <c r="S21" s="686"/>
      <c r="T21" s="686"/>
      <c r="U21" s="686"/>
      <c r="V21" s="686"/>
      <c r="W21" s="686"/>
      <c r="X21" s="686"/>
      <c r="Y21" s="686"/>
      <c r="Z21" s="686"/>
      <c r="AA21"/>
      <c r="AB21" s="684"/>
      <c r="AC21" s="684"/>
      <c r="AD21" s="684"/>
      <c r="AE21" s="7"/>
    </row>
    <row r="22" spans="1:31" s="685" customFormat="1">
      <c r="A22" s="686"/>
      <c r="B22" s="686"/>
      <c r="C22" s="689"/>
      <c r="D22" s="690"/>
      <c r="E22" s="690"/>
      <c r="F22" s="691"/>
      <c r="G22" s="686"/>
      <c r="H22" s="686"/>
      <c r="I22" s="686"/>
      <c r="J22" s="686"/>
      <c r="K22" s="686"/>
      <c r="L22" s="686"/>
      <c r="M22" s="686"/>
      <c r="N22" s="686"/>
      <c r="O22" s="686"/>
      <c r="P22" s="686"/>
      <c r="Q22" s="692"/>
      <c r="R22" s="686"/>
      <c r="S22" s="686"/>
      <c r="T22" s="686"/>
      <c r="U22" s="686"/>
      <c r="V22" s="686"/>
      <c r="W22" s="686"/>
      <c r="X22" s="686"/>
      <c r="Y22" s="686"/>
      <c r="Z22" s="686"/>
      <c r="AA22"/>
      <c r="AB22" s="688"/>
      <c r="AC22" s="694"/>
      <c r="AD22" s="694"/>
      <c r="AE22" s="714"/>
    </row>
    <row r="23" spans="1:31" s="685" customFormat="1">
      <c r="A23" s="686"/>
      <c r="B23" s="686"/>
      <c r="C23" s="689"/>
      <c r="D23" s="690"/>
      <c r="E23" s="690"/>
      <c r="F23" s="691"/>
      <c r="G23" s="686"/>
      <c r="H23" s="686"/>
      <c r="I23" s="686"/>
      <c r="J23" s="686"/>
      <c r="K23" s="686"/>
      <c r="L23" s="686"/>
      <c r="M23" s="686"/>
      <c r="N23" s="686"/>
      <c r="O23" s="686"/>
      <c r="P23" s="686"/>
      <c r="Q23" s="692"/>
      <c r="R23" s="686"/>
      <c r="S23" s="686"/>
      <c r="T23" s="686"/>
      <c r="U23" s="686"/>
      <c r="V23" s="686"/>
      <c r="W23" s="686"/>
      <c r="X23" s="686"/>
      <c r="Y23" s="686"/>
      <c r="Z23" s="686"/>
      <c r="AA23"/>
      <c r="AB23" s="688"/>
      <c r="AC23" s="694"/>
      <c r="AD23" s="694"/>
      <c r="AE23" s="714"/>
    </row>
    <row r="24" spans="1:31" s="685" customFormat="1">
      <c r="A24" s="686"/>
      <c r="B24" s="686"/>
      <c r="C24" s="689"/>
      <c r="D24" s="690"/>
      <c r="E24" s="690"/>
      <c r="F24" s="691"/>
      <c r="G24" s="686"/>
      <c r="H24" s="686"/>
      <c r="I24" s="686"/>
      <c r="J24" s="686"/>
      <c r="K24" s="686"/>
      <c r="L24" s="686"/>
      <c r="M24" s="686"/>
      <c r="N24" s="686"/>
      <c r="O24" s="686"/>
      <c r="P24" s="686"/>
      <c r="Q24" s="692"/>
      <c r="R24" s="686"/>
      <c r="S24" s="686"/>
      <c r="T24" s="686"/>
      <c r="U24" s="686"/>
      <c r="V24" s="686"/>
      <c r="W24" s="686"/>
      <c r="X24" s="686"/>
      <c r="Y24" s="686"/>
      <c r="Z24" s="686"/>
      <c r="AA24"/>
      <c r="AB24" s="688"/>
      <c r="AC24" s="694"/>
      <c r="AD24" s="715"/>
      <c r="AE24" s="714"/>
    </row>
    <row r="25" spans="1:31" s="685" customFormat="1">
      <c r="A25" s="686"/>
      <c r="B25" s="686"/>
      <c r="C25" s="689"/>
      <c r="D25" s="690"/>
      <c r="E25" s="690"/>
      <c r="F25" s="691"/>
      <c r="G25" s="686"/>
      <c r="H25" s="686"/>
      <c r="I25" s="686"/>
      <c r="J25" s="686"/>
      <c r="K25" s="686"/>
      <c r="L25" s="686"/>
      <c r="M25" s="686"/>
      <c r="N25" s="686"/>
      <c r="O25" s="686"/>
      <c r="P25" s="686"/>
      <c r="Q25" s="692"/>
      <c r="R25" s="686"/>
      <c r="S25" s="686"/>
      <c r="T25" s="686"/>
      <c r="U25" s="686"/>
      <c r="V25" s="686"/>
      <c r="W25" s="686"/>
      <c r="X25" s="686"/>
      <c r="Y25" s="686"/>
      <c r="Z25" s="686"/>
      <c r="AA25"/>
      <c r="AB25" s="688"/>
      <c r="AC25" s="694"/>
      <c r="AD25" s="694"/>
      <c r="AE25" s="714"/>
    </row>
    <row r="26" spans="1:31" s="685" customFormat="1">
      <c r="A26" s="686"/>
      <c r="B26" s="686"/>
      <c r="C26" s="689"/>
      <c r="D26" s="690"/>
      <c r="E26" s="690"/>
      <c r="F26" s="691"/>
      <c r="G26" s="686"/>
      <c r="H26" s="686"/>
      <c r="I26" s="686"/>
      <c r="J26" s="686"/>
      <c r="K26" s="686"/>
      <c r="L26" s="686"/>
      <c r="M26" s="686"/>
      <c r="N26" s="686"/>
      <c r="O26" s="686"/>
      <c r="P26" s="686"/>
      <c r="Q26" s="692"/>
      <c r="R26" s="686"/>
      <c r="S26" s="686"/>
      <c r="T26" s="686"/>
      <c r="U26" s="686"/>
      <c r="V26" s="686"/>
      <c r="W26" s="686"/>
      <c r="X26" s="686"/>
      <c r="Y26" s="686"/>
      <c r="Z26" s="686"/>
      <c r="AA26"/>
      <c r="AB26" s="688"/>
      <c r="AC26" s="694"/>
      <c r="AD26" s="694"/>
      <c r="AE26" s="714"/>
    </row>
    <row r="27" spans="1:31" s="685" customFormat="1">
      <c r="A27" s="686"/>
      <c r="B27" s="686"/>
      <c r="C27" s="689"/>
      <c r="D27" s="690"/>
      <c r="E27" s="690"/>
      <c r="F27" s="691"/>
      <c r="G27" s="686"/>
      <c r="H27" s="686"/>
      <c r="I27" s="686"/>
      <c r="J27" s="686"/>
      <c r="K27" s="686"/>
      <c r="L27" s="686"/>
      <c r="M27" s="686"/>
      <c r="N27" s="686"/>
      <c r="O27" s="686"/>
      <c r="P27" s="686"/>
      <c r="Q27" s="692"/>
      <c r="R27" s="686"/>
      <c r="S27" s="686"/>
      <c r="T27" s="686"/>
      <c r="U27" s="686"/>
      <c r="V27" s="686"/>
      <c r="W27" s="686"/>
      <c r="X27" s="686"/>
      <c r="Y27" s="686"/>
      <c r="Z27" s="686"/>
      <c r="AA27"/>
      <c r="AB27" s="688"/>
      <c r="AC27" s="694"/>
      <c r="AD27" s="716"/>
      <c r="AE27" s="12"/>
    </row>
    <row r="29" spans="1:31" s="685" customFormat="1">
      <c r="A29" s="686"/>
      <c r="B29" s="686"/>
      <c r="C29" s="689"/>
      <c r="D29" s="690"/>
      <c r="E29" s="690"/>
      <c r="F29" s="691"/>
      <c r="G29" s="686"/>
      <c r="H29" s="686"/>
      <c r="I29" s="686"/>
      <c r="J29" s="686"/>
      <c r="K29" s="686"/>
      <c r="L29" s="686"/>
      <c r="M29" s="686"/>
      <c r="N29" s="686"/>
      <c r="O29" s="686"/>
      <c r="P29" s="686"/>
      <c r="Q29" s="692"/>
      <c r="R29" s="686"/>
      <c r="S29" s="686"/>
      <c r="T29" s="686"/>
      <c r="U29" s="686"/>
      <c r="V29" s="686"/>
      <c r="W29" s="686"/>
      <c r="X29" s="686"/>
      <c r="Y29" s="686"/>
      <c r="Z29" s="686"/>
      <c r="AA29"/>
      <c r="AB29" s="684"/>
      <c r="AC29" s="684"/>
      <c r="AD29" s="684"/>
      <c r="AE29"/>
    </row>
    <row r="30" spans="1:31" s="685" customFormat="1">
      <c r="A30" s="686"/>
      <c r="B30" s="686"/>
      <c r="C30" s="689"/>
      <c r="D30" s="690"/>
      <c r="E30" s="690"/>
      <c r="F30" s="691"/>
      <c r="G30" s="686"/>
      <c r="H30" s="686"/>
      <c r="I30" s="686"/>
      <c r="J30" s="686"/>
      <c r="K30" s="686"/>
      <c r="L30" s="686"/>
      <c r="M30" s="686"/>
      <c r="N30" s="686"/>
      <c r="O30" s="686"/>
      <c r="P30" s="686"/>
      <c r="Q30" s="692"/>
      <c r="R30" s="686"/>
      <c r="S30" s="686"/>
      <c r="T30" s="686"/>
      <c r="U30" s="686"/>
      <c r="V30" s="686"/>
      <c r="W30" s="686"/>
      <c r="X30" s="686"/>
      <c r="Y30" s="686"/>
      <c r="Z30" s="686"/>
      <c r="AA30"/>
      <c r="AB30" s="684"/>
      <c r="AC30" s="684"/>
      <c r="AD30" s="684"/>
      <c r="AE30" s="7"/>
    </row>
    <row r="31" spans="1:31" s="685" customFormat="1">
      <c r="A31" s="686"/>
      <c r="B31" s="686"/>
      <c r="C31" s="689"/>
      <c r="D31" s="690"/>
      <c r="E31" s="690"/>
      <c r="F31" s="691"/>
      <c r="G31" s="686"/>
      <c r="H31" s="686"/>
      <c r="I31" s="686"/>
      <c r="J31" s="686"/>
      <c r="K31" s="686"/>
      <c r="L31" s="686"/>
      <c r="M31" s="686"/>
      <c r="N31" s="686"/>
      <c r="O31" s="686"/>
      <c r="P31" s="686"/>
      <c r="Q31" s="692"/>
      <c r="R31" s="686"/>
      <c r="S31" s="686"/>
      <c r="T31" s="686"/>
      <c r="U31" s="686"/>
      <c r="V31" s="686"/>
      <c r="W31" s="686"/>
      <c r="X31" s="686"/>
      <c r="Y31" s="686"/>
      <c r="Z31" s="686"/>
      <c r="AA31"/>
      <c r="AB31" s="688"/>
      <c r="AC31" s="694"/>
      <c r="AD31" s="694"/>
      <c r="AE31" s="714"/>
    </row>
    <row r="32" spans="1:31" s="685" customFormat="1">
      <c r="A32" s="686"/>
      <c r="B32" s="686"/>
      <c r="C32" s="689"/>
      <c r="D32" s="690"/>
      <c r="E32" s="690"/>
      <c r="F32" s="691"/>
      <c r="G32" s="686"/>
      <c r="H32" s="686"/>
      <c r="I32" s="686"/>
      <c r="J32" s="686"/>
      <c r="K32" s="686"/>
      <c r="L32" s="686"/>
      <c r="M32" s="686"/>
      <c r="N32" s="686"/>
      <c r="O32" s="686"/>
      <c r="P32" s="686"/>
      <c r="Q32" s="692"/>
      <c r="R32" s="686"/>
      <c r="S32" s="686"/>
      <c r="T32" s="686"/>
      <c r="U32" s="686"/>
      <c r="V32" s="686"/>
      <c r="W32" s="686"/>
      <c r="X32" s="686"/>
      <c r="Y32" s="686"/>
      <c r="Z32" s="686"/>
      <c r="AA32"/>
      <c r="AB32" s="688"/>
      <c r="AC32" s="694"/>
      <c r="AD32" s="694"/>
      <c r="AE32" s="714"/>
    </row>
    <row r="33" spans="1:31" s="685" customFormat="1">
      <c r="A33" s="686"/>
      <c r="B33" s="686"/>
      <c r="C33" s="689"/>
      <c r="D33" s="690"/>
      <c r="E33" s="690"/>
      <c r="F33" s="691"/>
      <c r="G33" s="686"/>
      <c r="H33" s="686"/>
      <c r="I33" s="686"/>
      <c r="J33" s="686"/>
      <c r="K33" s="686"/>
      <c r="L33" s="686"/>
      <c r="M33" s="686"/>
      <c r="N33" s="686"/>
      <c r="O33" s="686"/>
      <c r="P33" s="686"/>
      <c r="Q33" s="692"/>
      <c r="R33" s="686"/>
      <c r="S33" s="686"/>
      <c r="T33" s="686"/>
      <c r="U33" s="686"/>
      <c r="V33" s="686"/>
      <c r="W33" s="686"/>
      <c r="X33" s="686"/>
      <c r="Y33" s="686"/>
      <c r="Z33" s="686"/>
      <c r="AA33"/>
      <c r="AB33" s="688"/>
      <c r="AC33" s="694"/>
      <c r="AD33" s="715"/>
      <c r="AE33" s="714"/>
    </row>
    <row r="34" spans="1:31" s="685" customFormat="1">
      <c r="A34" s="686"/>
      <c r="B34" s="686"/>
      <c r="C34" s="689"/>
      <c r="D34" s="690"/>
      <c r="E34" s="690"/>
      <c r="F34" s="691"/>
      <c r="G34" s="686"/>
      <c r="H34" s="686"/>
      <c r="I34" s="686"/>
      <c r="J34" s="686"/>
      <c r="K34" s="686"/>
      <c r="L34" s="686"/>
      <c r="M34" s="686"/>
      <c r="N34" s="686"/>
      <c r="O34" s="686"/>
      <c r="P34" s="686"/>
      <c r="Q34" s="692"/>
      <c r="R34" s="686"/>
      <c r="S34" s="686"/>
      <c r="T34" s="686"/>
      <c r="U34" s="686"/>
      <c r="V34" s="686"/>
      <c r="W34" s="686"/>
      <c r="X34" s="686"/>
      <c r="Y34" s="686"/>
      <c r="Z34" s="686"/>
      <c r="AA34"/>
      <c r="AB34" s="688"/>
      <c r="AC34" s="694"/>
      <c r="AD34" s="694"/>
      <c r="AE34" s="714"/>
    </row>
    <row r="35" spans="1:31" s="685" customFormat="1">
      <c r="A35" s="686"/>
      <c r="B35" s="686"/>
      <c r="C35" s="689"/>
      <c r="D35" s="690"/>
      <c r="E35" s="690"/>
      <c r="F35" s="691"/>
      <c r="G35" s="686"/>
      <c r="H35" s="686"/>
      <c r="I35" s="686"/>
      <c r="J35" s="686"/>
      <c r="K35" s="686"/>
      <c r="L35" s="686"/>
      <c r="M35" s="686"/>
      <c r="N35" s="686"/>
      <c r="O35" s="686"/>
      <c r="P35" s="686"/>
      <c r="Q35" s="692"/>
      <c r="R35" s="686"/>
      <c r="S35" s="686"/>
      <c r="T35" s="686"/>
      <c r="U35" s="686"/>
      <c r="V35" s="686"/>
      <c r="W35" s="686"/>
      <c r="X35" s="686"/>
      <c r="Y35" s="686"/>
      <c r="Z35" s="686"/>
      <c r="AA35"/>
      <c r="AB35" s="688"/>
      <c r="AC35" s="694"/>
      <c r="AD35" s="694"/>
      <c r="AE35" s="714"/>
    </row>
    <row r="36" spans="1:31" s="685" customFormat="1">
      <c r="A36" s="686"/>
      <c r="B36" s="686"/>
      <c r="C36" s="689"/>
      <c r="D36" s="690"/>
      <c r="E36" s="690"/>
      <c r="F36" s="691"/>
      <c r="G36" s="686"/>
      <c r="H36" s="686"/>
      <c r="I36" s="686"/>
      <c r="J36" s="686"/>
      <c r="K36" s="686"/>
      <c r="L36" s="686"/>
      <c r="M36" s="686"/>
      <c r="N36" s="686"/>
      <c r="O36" s="686"/>
      <c r="P36" s="686"/>
      <c r="Q36" s="692"/>
      <c r="R36" s="686"/>
      <c r="S36" s="686"/>
      <c r="T36" s="686"/>
      <c r="U36" s="686"/>
      <c r="V36" s="686"/>
      <c r="W36" s="686"/>
      <c r="X36" s="686"/>
      <c r="Y36" s="686"/>
      <c r="Z36" s="686"/>
      <c r="AA36"/>
      <c r="AB36" s="688"/>
      <c r="AC36" s="694"/>
      <c r="AD36" s="716"/>
      <c r="AE36" s="12"/>
    </row>
    <row r="118" spans="3:33" s="686" customFormat="1">
      <c r="C118" s="689"/>
      <c r="D118" s="690"/>
      <c r="E118" s="690"/>
      <c r="F118" s="691"/>
      <c r="Q118" s="693"/>
      <c r="AA118"/>
      <c r="AB118"/>
      <c r="AC118" s="12"/>
      <c r="AD118" s="12"/>
      <c r="AE118"/>
      <c r="AF118" s="685"/>
      <c r="AG118" s="685"/>
    </row>
    <row r="119" spans="3:33" s="686" customFormat="1">
      <c r="C119" s="689"/>
      <c r="D119" s="690"/>
      <c r="E119" s="690"/>
      <c r="F119" s="691"/>
      <c r="Q119" s="693"/>
      <c r="AA119"/>
      <c r="AB119"/>
      <c r="AC119" s="12"/>
      <c r="AD119" s="12"/>
      <c r="AE119"/>
      <c r="AF119" s="685"/>
      <c r="AG119" s="685"/>
    </row>
    <row r="120" spans="3:33" s="686" customFormat="1">
      <c r="C120" s="689"/>
      <c r="D120" s="690"/>
      <c r="E120" s="690"/>
      <c r="F120" s="691"/>
      <c r="Q120" s="693"/>
      <c r="AA120"/>
      <c r="AB120"/>
      <c r="AC120" s="12"/>
      <c r="AD120" s="12"/>
      <c r="AE120"/>
      <c r="AF120" s="685"/>
      <c r="AG120" s="685"/>
    </row>
    <row r="132" spans="1:26">
      <c r="A132" s="694"/>
      <c r="B132" s="695"/>
      <c r="C132" s="696"/>
      <c r="D132" s="697"/>
      <c r="E132" s="697"/>
      <c r="F132" s="698"/>
      <c r="G132" s="695"/>
      <c r="J132" s="695"/>
      <c r="K132" s="695"/>
      <c r="L132" s="695"/>
      <c r="M132" s="695"/>
      <c r="N132" s="694"/>
      <c r="O132" s="695"/>
      <c r="P132" s="695"/>
      <c r="Q132" s="699"/>
      <c r="R132" s="695"/>
      <c r="S132" s="695"/>
      <c r="T132" s="695"/>
      <c r="U132" s="695"/>
      <c r="V132" s="695"/>
      <c r="W132" s="695"/>
      <c r="X132" s="695"/>
      <c r="Y132" s="695"/>
      <c r="Z132" s="695"/>
    </row>
    <row r="133" spans="1:26">
      <c r="B133" s="700"/>
      <c r="C133" s="701"/>
      <c r="D133" s="702"/>
      <c r="E133" s="702"/>
      <c r="F133" s="703"/>
      <c r="G133" s="700"/>
      <c r="I133" s="704"/>
      <c r="J133" s="700"/>
      <c r="K133" s="700"/>
      <c r="L133" s="700"/>
      <c r="M133" s="700"/>
      <c r="O133" s="700"/>
      <c r="P133" s="700"/>
      <c r="Q133" s="693"/>
      <c r="R133" s="700"/>
      <c r="S133" s="700"/>
      <c r="T133" s="700"/>
      <c r="U133" s="693"/>
      <c r="V133" s="700"/>
      <c r="W133" s="700"/>
      <c r="X133" s="700"/>
      <c r="Y133" s="700"/>
      <c r="Z133" s="700"/>
    </row>
    <row r="134" spans="1:26">
      <c r="B134" s="700"/>
      <c r="C134" s="701"/>
      <c r="D134" s="702"/>
      <c r="E134" s="702"/>
      <c r="F134" s="703"/>
      <c r="G134" s="700"/>
      <c r="I134" s="704"/>
      <c r="J134" s="700"/>
      <c r="K134" s="700"/>
      <c r="L134" s="700"/>
      <c r="M134" s="700"/>
      <c r="O134" s="700"/>
      <c r="P134" s="700"/>
      <c r="Q134" s="693"/>
      <c r="R134" s="700"/>
      <c r="S134" s="700"/>
      <c r="T134" s="700"/>
      <c r="U134" s="693"/>
      <c r="V134" s="700"/>
      <c r="W134" s="700"/>
      <c r="X134" s="700"/>
      <c r="Y134" s="700"/>
      <c r="Z134" s="700"/>
    </row>
    <row r="135" spans="1:26">
      <c r="B135" s="700"/>
      <c r="C135" s="701"/>
      <c r="D135" s="702"/>
      <c r="E135" s="702"/>
      <c r="F135" s="703"/>
      <c r="G135" s="700"/>
      <c r="I135" s="704"/>
      <c r="J135" s="700"/>
      <c r="K135" s="700"/>
      <c r="L135" s="700"/>
      <c r="M135" s="700"/>
      <c r="O135" s="700"/>
      <c r="P135" s="700"/>
      <c r="Q135" s="693"/>
      <c r="R135" s="700"/>
      <c r="S135" s="700"/>
      <c r="T135" s="700"/>
      <c r="U135" s="693"/>
      <c r="V135" s="700"/>
      <c r="W135" s="700"/>
      <c r="X135" s="700"/>
      <c r="Y135" s="700"/>
      <c r="Z135" s="700"/>
    </row>
    <row r="136" spans="1:26">
      <c r="B136" s="700"/>
      <c r="C136" s="701"/>
      <c r="D136" s="702"/>
      <c r="E136" s="702"/>
      <c r="F136" s="703"/>
      <c r="G136" s="700"/>
      <c r="I136" s="704"/>
      <c r="J136" s="700"/>
      <c r="K136" s="700"/>
      <c r="L136" s="700"/>
      <c r="M136" s="700"/>
      <c r="O136" s="700"/>
      <c r="P136" s="700"/>
      <c r="Q136" s="693"/>
      <c r="R136" s="700"/>
      <c r="S136" s="700"/>
      <c r="T136" s="700"/>
      <c r="U136" s="693"/>
      <c r="V136" s="700"/>
      <c r="W136" s="700"/>
      <c r="X136" s="700"/>
      <c r="Y136" s="700"/>
      <c r="Z136" s="700"/>
    </row>
    <row r="137" spans="1:26">
      <c r="B137" s="700"/>
      <c r="C137" s="701"/>
      <c r="D137" s="702"/>
      <c r="E137" s="702"/>
      <c r="F137" s="703"/>
      <c r="G137" s="700"/>
      <c r="I137" s="704"/>
      <c r="J137" s="700"/>
      <c r="K137" s="700"/>
      <c r="L137" s="700"/>
      <c r="M137" s="700"/>
      <c r="O137" s="700"/>
      <c r="P137" s="700"/>
      <c r="Q137" s="693"/>
      <c r="R137" s="700"/>
      <c r="S137" s="700"/>
      <c r="T137" s="700"/>
      <c r="U137" s="693"/>
      <c r="V137" s="700"/>
      <c r="W137" s="700"/>
      <c r="X137" s="700"/>
      <c r="Y137" s="700"/>
      <c r="Z137" s="700"/>
    </row>
    <row r="138" spans="1:26">
      <c r="B138" s="700"/>
      <c r="C138" s="701"/>
      <c r="D138" s="702"/>
      <c r="E138" s="702"/>
      <c r="F138" s="703"/>
      <c r="G138" s="700"/>
      <c r="I138" s="704"/>
      <c r="J138" s="700"/>
      <c r="K138" s="700"/>
      <c r="L138" s="700"/>
      <c r="M138" s="700"/>
      <c r="O138" s="700"/>
      <c r="P138" s="700"/>
      <c r="Q138" s="693"/>
      <c r="R138" s="700"/>
      <c r="S138" s="700"/>
      <c r="T138" s="700"/>
      <c r="U138" s="693"/>
      <c r="V138" s="700"/>
      <c r="W138" s="700"/>
      <c r="X138" s="700"/>
      <c r="Y138" s="700"/>
      <c r="Z138" s="700"/>
    </row>
    <row r="139" spans="1:26">
      <c r="B139" s="700"/>
      <c r="C139" s="701"/>
      <c r="D139" s="702"/>
      <c r="E139" s="702"/>
      <c r="F139" s="703"/>
      <c r="G139" s="700"/>
      <c r="I139" s="704"/>
      <c r="J139" s="700"/>
      <c r="K139" s="700"/>
      <c r="L139" s="700"/>
      <c r="M139" s="700"/>
      <c r="O139" s="700"/>
      <c r="P139" s="700"/>
      <c r="Q139" s="693"/>
      <c r="R139" s="700"/>
      <c r="S139" s="700"/>
      <c r="T139" s="700"/>
      <c r="U139" s="693"/>
      <c r="V139" s="700"/>
      <c r="W139" s="700"/>
      <c r="X139" s="700"/>
      <c r="Y139" s="700"/>
      <c r="Z139" s="700"/>
    </row>
    <row r="140" spans="1:26">
      <c r="B140" s="700"/>
      <c r="C140" s="701"/>
      <c r="D140" s="702"/>
      <c r="E140" s="702"/>
      <c r="F140" s="703"/>
      <c r="G140" s="700"/>
      <c r="I140" s="704"/>
      <c r="J140" s="700"/>
      <c r="K140" s="700"/>
      <c r="L140" s="700"/>
      <c r="M140" s="700"/>
      <c r="O140" s="700"/>
      <c r="P140" s="700"/>
      <c r="Q140" s="693"/>
      <c r="R140" s="700"/>
      <c r="S140" s="700"/>
      <c r="T140" s="700"/>
      <c r="U140" s="693"/>
      <c r="V140" s="700"/>
      <c r="W140" s="700"/>
      <c r="X140" s="700"/>
      <c r="Y140" s="700"/>
      <c r="Z140" s="700"/>
    </row>
    <row r="141" spans="1:26">
      <c r="B141" s="700"/>
      <c r="C141" s="701"/>
      <c r="D141" s="702"/>
      <c r="E141" s="702"/>
      <c r="F141" s="703"/>
      <c r="G141" s="700"/>
      <c r="I141" s="704"/>
      <c r="J141" s="700"/>
      <c r="K141" s="700"/>
      <c r="L141" s="700"/>
      <c r="M141" s="700"/>
      <c r="O141" s="700"/>
      <c r="P141" s="700"/>
      <c r="Q141" s="693"/>
      <c r="R141" s="700"/>
      <c r="S141" s="700"/>
      <c r="T141" s="700"/>
      <c r="U141" s="693"/>
      <c r="V141" s="700"/>
      <c r="W141" s="700"/>
      <c r="X141" s="700"/>
      <c r="Y141" s="700"/>
      <c r="Z141" s="700"/>
    </row>
    <row r="142" spans="1:26">
      <c r="B142" s="700"/>
      <c r="C142" s="701"/>
      <c r="D142" s="702"/>
      <c r="E142" s="702"/>
      <c r="F142" s="703"/>
      <c r="G142" s="700"/>
      <c r="I142" s="704"/>
      <c r="J142" s="700"/>
      <c r="K142" s="700"/>
      <c r="L142" s="700"/>
      <c r="M142" s="700"/>
      <c r="O142" s="700"/>
      <c r="P142" s="700"/>
      <c r="Q142" s="693"/>
      <c r="R142" s="700"/>
      <c r="S142" s="700"/>
      <c r="T142" s="700"/>
      <c r="U142" s="693"/>
      <c r="V142" s="700"/>
      <c r="W142" s="700"/>
      <c r="X142" s="700"/>
      <c r="Y142" s="700"/>
      <c r="Z142" s="700"/>
    </row>
    <row r="143" spans="1:26">
      <c r="B143" s="700"/>
      <c r="C143" s="701"/>
      <c r="D143" s="702"/>
      <c r="E143" s="702"/>
      <c r="F143" s="703"/>
      <c r="G143" s="700"/>
      <c r="I143" s="704"/>
      <c r="J143" s="700"/>
      <c r="K143" s="700"/>
      <c r="L143" s="700"/>
      <c r="M143" s="700"/>
      <c r="O143" s="700"/>
      <c r="P143" s="700"/>
      <c r="Q143" s="693"/>
      <c r="R143" s="700"/>
      <c r="S143" s="700"/>
      <c r="T143" s="700"/>
      <c r="U143" s="693"/>
      <c r="V143" s="700"/>
      <c r="W143" s="700"/>
      <c r="X143" s="700"/>
      <c r="Y143" s="700"/>
      <c r="Z143" s="700"/>
    </row>
    <row r="144" spans="1:26">
      <c r="B144" s="700"/>
      <c r="C144" s="701"/>
      <c r="D144" s="702"/>
      <c r="E144" s="702"/>
      <c r="F144" s="703"/>
      <c r="G144" s="700"/>
      <c r="I144" s="704"/>
      <c r="J144" s="700"/>
      <c r="K144" s="700"/>
      <c r="L144" s="700"/>
      <c r="M144" s="700"/>
      <c r="O144" s="700"/>
      <c r="P144" s="700"/>
      <c r="Q144" s="693"/>
      <c r="R144" s="700"/>
      <c r="S144" s="700"/>
      <c r="T144" s="700"/>
      <c r="U144" s="693"/>
      <c r="V144" s="700"/>
      <c r="W144" s="700"/>
      <c r="X144" s="700"/>
      <c r="Y144" s="700"/>
      <c r="Z144" s="700"/>
    </row>
    <row r="145" spans="2:26">
      <c r="B145" s="700"/>
      <c r="C145" s="701"/>
      <c r="D145" s="702"/>
      <c r="E145" s="702"/>
      <c r="F145" s="703"/>
      <c r="G145" s="700"/>
      <c r="I145" s="704"/>
      <c r="J145" s="700"/>
      <c r="K145" s="700"/>
      <c r="L145" s="700"/>
      <c r="M145" s="700"/>
      <c r="O145" s="700"/>
      <c r="P145" s="700"/>
      <c r="Q145" s="693"/>
      <c r="R145" s="700"/>
      <c r="S145" s="700"/>
      <c r="T145" s="700"/>
      <c r="U145" s="693"/>
      <c r="V145" s="700"/>
      <c r="W145" s="700"/>
      <c r="X145" s="700"/>
      <c r="Y145" s="700"/>
      <c r="Z145" s="700"/>
    </row>
    <row r="146" spans="2:26">
      <c r="B146" s="700"/>
      <c r="C146" s="701"/>
      <c r="D146" s="702"/>
      <c r="E146" s="702"/>
      <c r="F146" s="703"/>
      <c r="G146" s="700"/>
      <c r="I146" s="704"/>
      <c r="J146" s="700"/>
      <c r="K146" s="700"/>
      <c r="L146" s="700"/>
      <c r="M146" s="700"/>
      <c r="O146" s="700"/>
      <c r="P146" s="700"/>
      <c r="Q146" s="693"/>
      <c r="R146" s="700"/>
      <c r="S146" s="700"/>
      <c r="T146" s="700"/>
      <c r="U146" s="693"/>
      <c r="V146" s="700"/>
      <c r="W146" s="700"/>
      <c r="X146" s="700"/>
      <c r="Y146" s="700"/>
      <c r="Z146" s="700"/>
    </row>
    <row r="147" spans="2:26">
      <c r="B147" s="700"/>
      <c r="C147" s="701"/>
      <c r="D147" s="702"/>
      <c r="E147" s="702"/>
      <c r="F147" s="703"/>
      <c r="G147" s="700"/>
      <c r="I147" s="704"/>
      <c r="J147" s="700"/>
      <c r="K147" s="700"/>
      <c r="L147" s="700"/>
      <c r="M147" s="700"/>
      <c r="O147" s="700"/>
      <c r="P147" s="700"/>
      <c r="Q147" s="693"/>
      <c r="R147" s="700"/>
      <c r="S147" s="700"/>
      <c r="T147" s="700"/>
      <c r="U147" s="693"/>
      <c r="V147" s="700"/>
      <c r="W147" s="700"/>
      <c r="X147" s="700"/>
      <c r="Y147" s="700"/>
      <c r="Z147" s="700"/>
    </row>
    <row r="148" spans="2:26">
      <c r="B148" s="700"/>
      <c r="C148" s="701"/>
      <c r="D148" s="702"/>
      <c r="E148" s="702"/>
      <c r="F148" s="703"/>
      <c r="G148" s="700"/>
      <c r="I148" s="704"/>
      <c r="J148" s="700"/>
      <c r="K148" s="700"/>
      <c r="L148" s="703"/>
      <c r="M148" s="700"/>
      <c r="O148" s="700"/>
      <c r="P148" s="700"/>
      <c r="Q148" s="693"/>
      <c r="R148" s="700"/>
      <c r="S148" s="700"/>
      <c r="T148" s="700"/>
      <c r="U148" s="693"/>
      <c r="V148" s="700"/>
      <c r="W148" s="700"/>
      <c r="X148" s="700"/>
      <c r="Y148" s="700"/>
      <c r="Z148" s="700"/>
    </row>
    <row r="149" spans="2:26">
      <c r="B149" s="700"/>
      <c r="C149" s="701"/>
      <c r="D149" s="702"/>
      <c r="E149" s="702"/>
      <c r="F149" s="703"/>
      <c r="G149" s="700"/>
      <c r="I149" s="704"/>
      <c r="J149" s="700"/>
      <c r="K149" s="700"/>
      <c r="L149" s="700"/>
      <c r="M149" s="700"/>
      <c r="O149" s="700"/>
      <c r="P149" s="700"/>
      <c r="Q149" s="693"/>
      <c r="R149" s="700"/>
      <c r="S149" s="700"/>
      <c r="T149" s="700"/>
      <c r="U149" s="693"/>
      <c r="V149" s="700"/>
      <c r="W149" s="700"/>
      <c r="X149" s="700"/>
      <c r="Y149" s="700"/>
      <c r="Z149" s="700"/>
    </row>
    <row r="150" spans="2:26">
      <c r="B150" s="700"/>
      <c r="C150" s="701"/>
      <c r="D150" s="702"/>
      <c r="E150" s="702"/>
      <c r="F150" s="703"/>
      <c r="G150" s="700"/>
      <c r="I150" s="704"/>
      <c r="J150" s="700"/>
      <c r="K150" s="700"/>
      <c r="L150" s="700"/>
      <c r="M150" s="700"/>
      <c r="O150" s="700"/>
      <c r="P150" s="700"/>
      <c r="Q150" s="693"/>
      <c r="R150" s="700"/>
      <c r="S150" s="700"/>
      <c r="T150" s="700"/>
      <c r="U150" s="693"/>
      <c r="V150" s="700"/>
      <c r="W150" s="700"/>
      <c r="X150" s="700"/>
      <c r="Y150" s="700"/>
      <c r="Z150" s="700"/>
    </row>
    <row r="151" spans="2:26">
      <c r="B151" s="700"/>
      <c r="C151" s="701"/>
      <c r="D151" s="702"/>
      <c r="E151" s="702"/>
      <c r="F151" s="703"/>
      <c r="G151" s="700"/>
      <c r="I151" s="704"/>
      <c r="J151" s="700"/>
      <c r="K151" s="700"/>
      <c r="L151" s="700"/>
      <c r="M151" s="700"/>
      <c r="O151" s="700"/>
      <c r="P151" s="700"/>
      <c r="Q151" s="693"/>
      <c r="R151" s="700"/>
      <c r="S151" s="700"/>
      <c r="T151" s="700"/>
      <c r="U151" s="693"/>
      <c r="V151" s="700"/>
      <c r="W151" s="700"/>
      <c r="X151" s="700"/>
      <c r="Y151" s="700"/>
      <c r="Z151" s="700"/>
    </row>
    <row r="152" spans="2:26">
      <c r="B152" s="700"/>
      <c r="C152" s="701"/>
      <c r="D152" s="702"/>
      <c r="E152" s="702"/>
      <c r="F152" s="703"/>
      <c r="G152" s="700"/>
      <c r="I152" s="704"/>
      <c r="J152" s="700"/>
      <c r="K152" s="700"/>
      <c r="L152" s="703"/>
      <c r="M152" s="700"/>
      <c r="O152" s="700"/>
      <c r="P152" s="700"/>
      <c r="Q152" s="693"/>
      <c r="R152" s="700"/>
      <c r="S152" s="700"/>
      <c r="T152" s="700"/>
      <c r="U152" s="693"/>
      <c r="V152" s="700"/>
      <c r="W152" s="700"/>
      <c r="X152" s="700"/>
      <c r="Y152" s="700"/>
      <c r="Z152" s="700"/>
    </row>
    <row r="153" spans="2:26">
      <c r="B153" s="700"/>
      <c r="C153" s="701"/>
      <c r="D153" s="702"/>
      <c r="E153" s="702"/>
      <c r="F153" s="703"/>
      <c r="G153" s="700"/>
      <c r="I153" s="704"/>
      <c r="J153" s="700"/>
      <c r="K153" s="700"/>
      <c r="L153" s="703"/>
      <c r="M153" s="700"/>
      <c r="O153" s="700"/>
      <c r="P153" s="700"/>
      <c r="Q153" s="693"/>
      <c r="R153" s="700"/>
      <c r="S153" s="700"/>
      <c r="T153" s="700"/>
      <c r="U153" s="693"/>
      <c r="V153" s="700"/>
      <c r="W153" s="700"/>
      <c r="X153" s="700"/>
      <c r="Y153" s="700"/>
      <c r="Z153" s="700"/>
    </row>
    <row r="154" spans="2:26">
      <c r="B154" s="700"/>
      <c r="C154" s="701"/>
      <c r="D154" s="702"/>
      <c r="E154" s="702"/>
      <c r="F154" s="703"/>
      <c r="G154" s="700"/>
      <c r="I154" s="704"/>
      <c r="J154" s="700"/>
      <c r="K154" s="700"/>
      <c r="L154" s="703"/>
      <c r="M154" s="700"/>
      <c r="O154" s="700"/>
      <c r="P154" s="700"/>
      <c r="Q154" s="693"/>
      <c r="R154" s="700"/>
      <c r="S154" s="700"/>
      <c r="T154" s="700"/>
      <c r="U154" s="693"/>
      <c r="V154" s="700"/>
      <c r="W154" s="700"/>
      <c r="X154" s="700"/>
      <c r="Y154" s="700"/>
      <c r="Z154" s="700"/>
    </row>
    <row r="155" spans="2:26">
      <c r="B155" s="700"/>
      <c r="C155" s="701"/>
      <c r="D155" s="702"/>
      <c r="E155" s="702"/>
      <c r="F155" s="703"/>
      <c r="G155" s="700"/>
      <c r="I155" s="704"/>
      <c r="J155" s="700"/>
      <c r="K155" s="700"/>
      <c r="L155" s="703"/>
      <c r="M155" s="700"/>
      <c r="O155" s="700"/>
      <c r="P155" s="700"/>
      <c r="Q155" s="693"/>
      <c r="R155" s="700"/>
      <c r="S155" s="700"/>
      <c r="T155" s="700"/>
      <c r="U155" s="693"/>
      <c r="V155" s="700"/>
      <c r="W155" s="700"/>
      <c r="X155" s="700"/>
      <c r="Y155" s="700"/>
      <c r="Z155" s="700"/>
    </row>
    <row r="156" spans="2:26">
      <c r="B156" s="700"/>
      <c r="C156" s="701"/>
      <c r="D156" s="702"/>
      <c r="E156" s="702"/>
      <c r="F156" s="703"/>
      <c r="G156" s="700"/>
      <c r="I156" s="704"/>
      <c r="J156" s="700"/>
      <c r="K156" s="700"/>
      <c r="L156" s="700"/>
      <c r="M156" s="700"/>
      <c r="O156" s="700"/>
      <c r="P156" s="700"/>
      <c r="Q156" s="693"/>
      <c r="R156" s="700"/>
      <c r="S156" s="700"/>
      <c r="T156" s="700"/>
      <c r="U156" s="693"/>
      <c r="V156" s="700"/>
      <c r="W156" s="700"/>
      <c r="X156" s="700"/>
      <c r="Y156" s="700"/>
      <c r="Z156" s="700"/>
    </row>
    <row r="157" spans="2:26">
      <c r="B157" s="700"/>
      <c r="C157" s="701"/>
      <c r="D157" s="702"/>
      <c r="E157" s="702"/>
      <c r="F157" s="703"/>
      <c r="G157" s="700"/>
      <c r="I157" s="704"/>
      <c r="J157" s="700"/>
      <c r="K157" s="700"/>
      <c r="L157" s="703"/>
      <c r="M157" s="700"/>
      <c r="O157" s="700"/>
      <c r="P157" s="700"/>
      <c r="Q157" s="693"/>
      <c r="R157" s="700"/>
      <c r="S157" s="700"/>
      <c r="T157" s="700"/>
      <c r="U157" s="693"/>
      <c r="V157" s="700"/>
      <c r="W157" s="700"/>
      <c r="X157" s="700"/>
      <c r="Y157" s="700"/>
      <c r="Z157" s="700"/>
    </row>
    <row r="158" spans="2:26">
      <c r="B158" s="700"/>
      <c r="C158" s="701"/>
      <c r="D158" s="702"/>
      <c r="E158" s="702"/>
      <c r="F158" s="703"/>
      <c r="G158" s="700"/>
      <c r="I158" s="704"/>
      <c r="J158" s="700"/>
      <c r="K158" s="700"/>
      <c r="L158" s="703"/>
      <c r="M158" s="700"/>
      <c r="O158" s="700"/>
      <c r="P158" s="700"/>
      <c r="Q158" s="693"/>
      <c r="R158" s="700"/>
      <c r="S158" s="700"/>
      <c r="T158" s="700"/>
      <c r="U158" s="693"/>
      <c r="V158" s="700"/>
      <c r="W158" s="700"/>
      <c r="X158" s="700"/>
      <c r="Y158" s="700"/>
      <c r="Z158" s="700"/>
    </row>
    <row r="159" spans="2:26">
      <c r="B159" s="700"/>
      <c r="C159" s="701"/>
      <c r="D159" s="702"/>
      <c r="E159" s="702"/>
      <c r="F159" s="703"/>
      <c r="G159" s="700"/>
      <c r="I159" s="704"/>
      <c r="J159" s="700"/>
      <c r="K159" s="700"/>
      <c r="L159" s="703"/>
      <c r="M159" s="700"/>
      <c r="O159" s="700"/>
      <c r="P159" s="700"/>
      <c r="Q159" s="693"/>
      <c r="R159" s="700"/>
      <c r="S159" s="700"/>
      <c r="T159" s="700"/>
      <c r="U159" s="693"/>
      <c r="V159" s="700"/>
      <c r="W159" s="700"/>
      <c r="X159" s="700"/>
      <c r="Y159" s="700"/>
      <c r="Z159" s="700"/>
    </row>
    <row r="160" spans="2:26">
      <c r="B160" s="700"/>
      <c r="C160" s="701"/>
      <c r="D160" s="702"/>
      <c r="E160" s="702"/>
      <c r="F160" s="703"/>
      <c r="G160" s="700"/>
      <c r="I160" s="704"/>
      <c r="J160" s="700"/>
      <c r="K160" s="700"/>
      <c r="L160" s="703"/>
      <c r="M160" s="700"/>
      <c r="O160" s="700"/>
      <c r="P160" s="700"/>
      <c r="Q160" s="693"/>
      <c r="R160" s="700"/>
      <c r="S160" s="700"/>
      <c r="T160" s="700"/>
      <c r="U160" s="693"/>
      <c r="V160" s="700"/>
      <c r="W160" s="700"/>
      <c r="X160" s="700"/>
      <c r="Y160" s="700"/>
      <c r="Z160" s="700"/>
    </row>
    <row r="161" spans="2:26">
      <c r="B161" s="700"/>
      <c r="C161" s="701"/>
      <c r="D161" s="702"/>
      <c r="E161" s="702"/>
      <c r="F161" s="703"/>
      <c r="G161" s="700"/>
      <c r="I161" s="704"/>
      <c r="J161" s="700"/>
      <c r="K161" s="700"/>
      <c r="L161" s="703"/>
      <c r="M161" s="700"/>
      <c r="O161" s="700"/>
      <c r="P161" s="700"/>
      <c r="Q161" s="693"/>
      <c r="R161" s="700"/>
      <c r="S161" s="700"/>
      <c r="T161" s="700"/>
      <c r="U161" s="693"/>
      <c r="V161" s="700"/>
      <c r="W161" s="700"/>
      <c r="X161" s="700"/>
      <c r="Y161" s="700"/>
      <c r="Z161" s="700"/>
    </row>
    <row r="162" spans="2:26">
      <c r="B162" s="700"/>
      <c r="C162" s="701"/>
      <c r="D162" s="702"/>
      <c r="E162" s="702"/>
      <c r="F162" s="703"/>
      <c r="G162" s="700"/>
      <c r="I162" s="704"/>
      <c r="J162" s="700"/>
      <c r="K162" s="700"/>
      <c r="L162" s="703"/>
      <c r="M162" s="700"/>
      <c r="O162" s="700"/>
      <c r="P162" s="700"/>
      <c r="Q162" s="693"/>
      <c r="R162" s="700"/>
      <c r="S162" s="700"/>
      <c r="T162" s="700"/>
      <c r="U162" s="693"/>
      <c r="V162" s="700"/>
      <c r="W162" s="700"/>
      <c r="X162" s="700"/>
      <c r="Y162" s="700"/>
      <c r="Z162" s="700"/>
    </row>
    <row r="163" spans="2:26">
      <c r="B163" s="700"/>
      <c r="C163" s="701"/>
      <c r="D163" s="702"/>
      <c r="E163" s="702"/>
      <c r="F163" s="703"/>
      <c r="G163" s="700"/>
      <c r="I163" s="704"/>
      <c r="J163" s="700"/>
      <c r="K163" s="700"/>
      <c r="L163" s="703"/>
      <c r="M163" s="700"/>
      <c r="O163" s="700"/>
      <c r="P163" s="700"/>
      <c r="Q163" s="693"/>
      <c r="R163" s="700"/>
      <c r="S163" s="700"/>
      <c r="T163" s="700"/>
      <c r="U163" s="693"/>
      <c r="V163" s="700"/>
      <c r="W163" s="700"/>
      <c r="X163" s="700"/>
      <c r="Y163" s="700"/>
      <c r="Z163" s="700"/>
    </row>
    <row r="164" spans="2:26">
      <c r="B164" s="700"/>
      <c r="C164" s="701"/>
      <c r="D164" s="702"/>
      <c r="E164" s="702"/>
      <c r="F164" s="703"/>
      <c r="G164" s="700"/>
      <c r="I164" s="704"/>
      <c r="J164" s="700"/>
      <c r="K164" s="700"/>
      <c r="L164" s="703"/>
      <c r="M164" s="700"/>
      <c r="O164" s="700"/>
      <c r="P164" s="700"/>
      <c r="Q164" s="693"/>
      <c r="R164" s="700"/>
      <c r="S164" s="700"/>
      <c r="T164" s="700"/>
      <c r="U164" s="693"/>
      <c r="V164" s="700"/>
      <c r="W164" s="700"/>
      <c r="X164" s="700"/>
      <c r="Y164" s="700"/>
      <c r="Z164" s="700"/>
    </row>
    <row r="165" spans="2:26">
      <c r="B165" s="700"/>
      <c r="C165" s="701"/>
      <c r="D165" s="702"/>
      <c r="E165" s="702"/>
      <c r="F165" s="703"/>
      <c r="G165" s="700"/>
      <c r="I165" s="704"/>
      <c r="J165" s="700"/>
      <c r="K165" s="700"/>
      <c r="L165" s="703"/>
      <c r="M165" s="700"/>
      <c r="O165" s="700"/>
      <c r="P165" s="700"/>
      <c r="Q165" s="693"/>
      <c r="R165" s="700"/>
      <c r="S165" s="700"/>
      <c r="T165" s="700"/>
      <c r="U165" s="693"/>
      <c r="V165" s="700"/>
      <c r="W165" s="700"/>
      <c r="X165" s="700"/>
      <c r="Y165" s="700"/>
      <c r="Z165" s="700"/>
    </row>
    <row r="166" spans="2:26">
      <c r="B166" s="700"/>
      <c r="C166" s="701"/>
      <c r="D166" s="702"/>
      <c r="E166" s="702"/>
      <c r="F166" s="703"/>
      <c r="G166" s="700"/>
      <c r="I166" s="704"/>
      <c r="J166" s="700"/>
      <c r="K166" s="700"/>
      <c r="L166" s="703"/>
      <c r="M166" s="700"/>
      <c r="O166" s="700"/>
      <c r="P166" s="700"/>
      <c r="Q166" s="693"/>
      <c r="R166" s="700"/>
      <c r="S166" s="700"/>
      <c r="T166" s="700"/>
      <c r="U166" s="693"/>
      <c r="V166" s="700"/>
      <c r="W166" s="700"/>
      <c r="X166" s="700"/>
      <c r="Y166" s="700"/>
      <c r="Z166" s="700"/>
    </row>
    <row r="167" spans="2:26">
      <c r="B167" s="700"/>
      <c r="C167" s="701"/>
      <c r="D167" s="702"/>
      <c r="E167" s="702"/>
      <c r="F167" s="703"/>
      <c r="G167" s="700"/>
      <c r="I167" s="704"/>
      <c r="J167" s="700"/>
      <c r="K167" s="700"/>
      <c r="L167" s="703"/>
      <c r="M167" s="700"/>
      <c r="O167" s="700"/>
      <c r="P167" s="700"/>
      <c r="Q167" s="693"/>
      <c r="R167" s="700"/>
      <c r="S167" s="700"/>
      <c r="T167" s="700"/>
      <c r="U167" s="693"/>
      <c r="V167" s="700"/>
      <c r="W167" s="700"/>
      <c r="X167" s="700"/>
      <c r="Y167" s="700"/>
      <c r="Z167" s="700"/>
    </row>
    <row r="168" spans="2:26">
      <c r="B168" s="700"/>
      <c r="C168" s="701"/>
      <c r="D168" s="702"/>
      <c r="E168" s="702"/>
      <c r="F168" s="703"/>
      <c r="G168" s="700"/>
      <c r="I168" s="704"/>
      <c r="J168" s="700"/>
      <c r="K168" s="700"/>
      <c r="L168" s="703"/>
      <c r="M168" s="700"/>
      <c r="O168" s="700"/>
      <c r="P168" s="700"/>
      <c r="Q168" s="693"/>
      <c r="R168" s="700"/>
      <c r="S168" s="700"/>
      <c r="T168" s="700"/>
      <c r="U168" s="693"/>
      <c r="V168" s="700"/>
      <c r="W168" s="700"/>
      <c r="X168" s="700"/>
      <c r="Y168" s="700"/>
      <c r="Z168" s="700"/>
    </row>
    <row r="169" spans="2:26">
      <c r="B169" s="700"/>
      <c r="C169" s="701"/>
      <c r="D169" s="702"/>
      <c r="E169" s="702"/>
      <c r="F169" s="703"/>
      <c r="G169" s="700"/>
      <c r="I169" s="704"/>
      <c r="J169" s="700"/>
      <c r="K169" s="700"/>
      <c r="L169" s="703"/>
      <c r="M169" s="700"/>
      <c r="O169" s="700"/>
      <c r="P169" s="700"/>
      <c r="Q169" s="693"/>
      <c r="R169" s="700"/>
      <c r="S169" s="700"/>
      <c r="T169" s="700"/>
      <c r="U169" s="693"/>
      <c r="V169" s="700"/>
      <c r="W169" s="700"/>
      <c r="X169" s="700"/>
      <c r="Y169" s="700"/>
      <c r="Z169" s="700"/>
    </row>
    <row r="170" spans="2:26">
      <c r="B170" s="700"/>
      <c r="C170" s="701"/>
      <c r="D170" s="702"/>
      <c r="E170" s="702"/>
      <c r="F170" s="703"/>
      <c r="G170" s="700"/>
      <c r="I170" s="704"/>
      <c r="J170" s="700"/>
      <c r="K170" s="700"/>
      <c r="L170" s="703"/>
      <c r="M170" s="700"/>
      <c r="O170" s="700"/>
      <c r="P170" s="700"/>
      <c r="Q170" s="693"/>
      <c r="R170" s="700"/>
      <c r="S170" s="700"/>
      <c r="T170" s="700"/>
      <c r="U170" s="693"/>
      <c r="V170" s="700"/>
      <c r="W170" s="700"/>
      <c r="X170" s="700"/>
      <c r="Y170" s="700"/>
      <c r="Z170" s="700"/>
    </row>
    <row r="171" spans="2:26">
      <c r="B171" s="700"/>
      <c r="C171" s="701"/>
      <c r="D171" s="702"/>
      <c r="E171" s="702"/>
      <c r="F171" s="703"/>
      <c r="G171" s="700"/>
      <c r="I171" s="704"/>
      <c r="J171" s="700"/>
      <c r="K171" s="700"/>
      <c r="L171" s="703"/>
      <c r="M171" s="700"/>
      <c r="O171" s="700"/>
      <c r="P171" s="700"/>
      <c r="Q171" s="693"/>
      <c r="R171" s="700"/>
      <c r="S171" s="700"/>
      <c r="T171" s="700"/>
      <c r="U171" s="693"/>
      <c r="V171" s="700"/>
      <c r="W171" s="700"/>
      <c r="X171" s="700"/>
      <c r="Y171" s="700"/>
      <c r="Z171" s="700"/>
    </row>
    <row r="172" spans="2:26">
      <c r="B172" s="700"/>
      <c r="C172" s="701"/>
      <c r="D172" s="702"/>
      <c r="E172" s="702"/>
      <c r="F172" s="703"/>
      <c r="G172" s="700"/>
      <c r="I172" s="704"/>
      <c r="J172" s="700"/>
      <c r="K172" s="700"/>
      <c r="L172" s="703"/>
      <c r="M172" s="700"/>
      <c r="O172" s="700"/>
      <c r="P172" s="700"/>
      <c r="Q172" s="693"/>
      <c r="R172" s="700"/>
      <c r="S172" s="700"/>
      <c r="T172" s="700"/>
      <c r="U172" s="693"/>
      <c r="V172" s="700"/>
      <c r="W172" s="700"/>
      <c r="X172" s="700"/>
      <c r="Y172" s="700"/>
      <c r="Z172" s="700"/>
    </row>
    <row r="173" spans="2:26">
      <c r="B173" s="700"/>
      <c r="C173" s="701"/>
      <c r="D173" s="702"/>
      <c r="E173" s="702"/>
      <c r="F173" s="703"/>
      <c r="G173" s="700"/>
      <c r="I173" s="704"/>
      <c r="J173" s="700"/>
      <c r="K173" s="700"/>
      <c r="L173" s="703"/>
      <c r="M173" s="700"/>
      <c r="O173" s="700"/>
      <c r="P173" s="700"/>
      <c r="Q173" s="693"/>
      <c r="R173" s="700"/>
      <c r="S173" s="700"/>
      <c r="T173" s="700"/>
      <c r="U173" s="693"/>
      <c r="V173" s="700"/>
      <c r="W173" s="700"/>
      <c r="X173" s="700"/>
      <c r="Y173" s="700"/>
      <c r="Z173" s="700"/>
    </row>
    <row r="174" spans="2:26">
      <c r="B174" s="700"/>
      <c r="C174" s="701"/>
      <c r="D174" s="702"/>
      <c r="E174" s="702"/>
      <c r="F174" s="703"/>
      <c r="G174" s="700"/>
      <c r="I174" s="704"/>
      <c r="J174" s="700"/>
      <c r="K174" s="700"/>
      <c r="L174" s="703"/>
      <c r="M174" s="700"/>
      <c r="O174" s="700"/>
      <c r="P174" s="700"/>
      <c r="Q174" s="693"/>
      <c r="R174" s="700"/>
      <c r="S174" s="700"/>
      <c r="T174" s="700"/>
      <c r="U174" s="693"/>
      <c r="V174" s="700"/>
      <c r="W174" s="700"/>
      <c r="X174" s="700"/>
      <c r="Y174" s="700"/>
      <c r="Z174" s="700"/>
    </row>
    <row r="175" spans="2:26">
      <c r="B175" s="700"/>
      <c r="C175" s="701"/>
      <c r="D175" s="702"/>
      <c r="E175" s="702"/>
      <c r="F175" s="703"/>
      <c r="G175" s="700"/>
      <c r="I175" s="704"/>
      <c r="J175" s="700"/>
      <c r="K175" s="700"/>
      <c r="L175" s="703"/>
      <c r="M175" s="700"/>
      <c r="O175" s="700"/>
      <c r="P175" s="700"/>
      <c r="Q175" s="693"/>
      <c r="R175" s="700"/>
      <c r="S175" s="700"/>
      <c r="T175" s="700"/>
      <c r="U175" s="693"/>
      <c r="V175" s="700"/>
      <c r="W175" s="700"/>
      <c r="X175" s="700"/>
      <c r="Y175" s="700"/>
      <c r="Z175" s="700"/>
    </row>
    <row r="176" spans="2:26">
      <c r="B176" s="700"/>
      <c r="C176" s="701"/>
      <c r="D176" s="702"/>
      <c r="E176" s="702"/>
      <c r="F176" s="703"/>
      <c r="G176" s="700"/>
      <c r="I176" s="704"/>
      <c r="J176" s="700"/>
      <c r="K176" s="700"/>
      <c r="L176" s="703"/>
      <c r="M176" s="700"/>
      <c r="O176" s="700"/>
      <c r="P176" s="700"/>
      <c r="Q176" s="693"/>
      <c r="R176" s="700"/>
      <c r="S176" s="700"/>
      <c r="T176" s="700"/>
      <c r="U176" s="693"/>
      <c r="V176" s="700"/>
      <c r="W176" s="700"/>
      <c r="X176" s="700"/>
      <c r="Y176" s="700"/>
      <c r="Z176" s="700"/>
    </row>
    <row r="177" spans="2:26">
      <c r="B177" s="700"/>
      <c r="C177" s="701"/>
      <c r="D177" s="702"/>
      <c r="E177" s="702"/>
      <c r="F177" s="703"/>
      <c r="G177" s="700"/>
      <c r="I177" s="704"/>
      <c r="J177" s="700"/>
      <c r="K177" s="700"/>
      <c r="L177" s="703"/>
      <c r="M177" s="700"/>
      <c r="O177" s="700"/>
      <c r="P177" s="700"/>
      <c r="Q177" s="693"/>
      <c r="R177" s="700"/>
      <c r="S177" s="700"/>
      <c r="T177" s="700"/>
      <c r="U177" s="693"/>
      <c r="V177" s="700"/>
      <c r="W177" s="700"/>
      <c r="X177" s="700"/>
      <c r="Y177" s="700"/>
      <c r="Z177" s="700"/>
    </row>
    <row r="178" spans="2:26">
      <c r="B178" s="700"/>
      <c r="C178" s="701"/>
      <c r="D178" s="702"/>
      <c r="E178" s="702"/>
      <c r="F178" s="703"/>
      <c r="G178" s="700"/>
      <c r="I178" s="704"/>
      <c r="J178" s="700"/>
      <c r="K178" s="700"/>
      <c r="L178" s="703"/>
      <c r="M178" s="700"/>
      <c r="O178" s="700"/>
      <c r="P178" s="700"/>
      <c r="Q178" s="693"/>
      <c r="R178" s="700"/>
      <c r="S178" s="700"/>
      <c r="T178" s="700"/>
      <c r="U178" s="693"/>
      <c r="V178" s="700"/>
      <c r="W178" s="700"/>
      <c r="X178" s="700"/>
      <c r="Y178" s="700"/>
      <c r="Z178" s="700"/>
    </row>
    <row r="179" spans="2:26">
      <c r="B179" s="700"/>
      <c r="C179" s="701"/>
      <c r="D179" s="702"/>
      <c r="E179" s="702"/>
      <c r="F179" s="703"/>
      <c r="G179" s="700"/>
      <c r="I179" s="704"/>
      <c r="J179" s="700"/>
      <c r="K179" s="700"/>
      <c r="L179" s="703"/>
      <c r="M179" s="700"/>
      <c r="O179" s="700"/>
      <c r="P179" s="700"/>
      <c r="Q179" s="693"/>
      <c r="R179" s="700"/>
      <c r="S179" s="700"/>
      <c r="T179" s="700"/>
      <c r="U179" s="693"/>
      <c r="V179" s="700"/>
      <c r="W179" s="700"/>
      <c r="X179" s="700"/>
      <c r="Y179" s="700"/>
      <c r="Z179" s="700"/>
    </row>
    <row r="180" spans="2:26">
      <c r="B180" s="700"/>
      <c r="C180" s="701"/>
      <c r="D180" s="702"/>
      <c r="E180" s="702"/>
      <c r="F180" s="703"/>
      <c r="G180" s="700"/>
      <c r="I180" s="704"/>
      <c r="J180" s="700"/>
      <c r="K180" s="700"/>
      <c r="L180" s="703"/>
      <c r="M180" s="700"/>
      <c r="O180" s="700"/>
      <c r="P180" s="700"/>
      <c r="Q180" s="693"/>
      <c r="R180" s="700"/>
      <c r="S180" s="700"/>
      <c r="T180" s="700"/>
      <c r="U180" s="693"/>
      <c r="V180" s="700"/>
      <c r="W180" s="700"/>
      <c r="X180" s="700"/>
      <c r="Y180" s="700"/>
      <c r="Z180" s="700"/>
    </row>
    <row r="181" spans="2:26">
      <c r="B181" s="700"/>
      <c r="C181" s="701"/>
      <c r="D181" s="702"/>
      <c r="E181" s="702"/>
      <c r="F181" s="703"/>
      <c r="G181" s="700"/>
      <c r="I181" s="704"/>
      <c r="J181" s="700"/>
      <c r="K181" s="700"/>
      <c r="L181" s="703"/>
      <c r="M181" s="700"/>
      <c r="O181" s="700"/>
      <c r="P181" s="700"/>
      <c r="Q181" s="693"/>
      <c r="R181" s="700"/>
      <c r="S181" s="700"/>
      <c r="T181" s="700"/>
      <c r="U181" s="693"/>
      <c r="V181" s="700"/>
      <c r="W181" s="700"/>
      <c r="X181" s="700"/>
      <c r="Y181" s="700"/>
      <c r="Z181" s="700"/>
    </row>
    <row r="182" spans="2:26">
      <c r="B182" s="700"/>
      <c r="C182" s="701"/>
      <c r="D182" s="702"/>
      <c r="E182" s="702"/>
      <c r="F182" s="703"/>
      <c r="G182" s="700"/>
      <c r="I182" s="704"/>
      <c r="J182" s="700"/>
      <c r="K182" s="700"/>
      <c r="L182" s="703"/>
      <c r="M182" s="700"/>
      <c r="O182" s="700"/>
      <c r="P182" s="700"/>
      <c r="Q182" s="693"/>
      <c r="R182" s="700"/>
      <c r="S182" s="700"/>
      <c r="T182" s="700"/>
      <c r="U182" s="693"/>
      <c r="V182" s="700"/>
      <c r="W182" s="700"/>
      <c r="X182" s="700"/>
      <c r="Y182" s="700"/>
      <c r="Z182" s="700"/>
    </row>
    <row r="183" spans="2:26">
      <c r="B183" s="700"/>
      <c r="C183" s="701"/>
      <c r="D183" s="702"/>
      <c r="E183" s="702"/>
      <c r="F183" s="703"/>
      <c r="G183" s="700"/>
      <c r="I183" s="704"/>
      <c r="J183" s="700"/>
      <c r="K183" s="700"/>
      <c r="L183" s="703"/>
      <c r="M183" s="700"/>
      <c r="O183" s="700"/>
      <c r="P183" s="700"/>
      <c r="Q183" s="693"/>
      <c r="R183" s="700"/>
      <c r="S183" s="700"/>
      <c r="T183" s="700"/>
      <c r="U183" s="693"/>
      <c r="V183" s="700"/>
      <c r="W183" s="700"/>
      <c r="X183" s="700"/>
      <c r="Y183" s="700"/>
      <c r="Z183" s="700"/>
    </row>
    <row r="184" spans="2:26">
      <c r="B184" s="700"/>
      <c r="C184" s="701"/>
      <c r="D184" s="702"/>
      <c r="E184" s="702"/>
      <c r="F184" s="703"/>
      <c r="G184" s="700"/>
      <c r="I184" s="704"/>
      <c r="J184" s="700"/>
      <c r="K184" s="700"/>
      <c r="L184" s="703"/>
      <c r="M184" s="700"/>
      <c r="O184" s="700"/>
      <c r="P184" s="700"/>
      <c r="Q184" s="693"/>
      <c r="R184" s="700"/>
      <c r="S184" s="700"/>
      <c r="T184" s="700"/>
      <c r="U184" s="693"/>
      <c r="V184" s="700"/>
      <c r="W184" s="700"/>
      <c r="X184" s="700"/>
      <c r="Y184" s="700"/>
      <c r="Z184" s="700"/>
    </row>
    <row r="185" spans="2:26">
      <c r="B185" s="700"/>
      <c r="C185" s="701"/>
      <c r="D185" s="702"/>
      <c r="E185" s="702"/>
      <c r="F185" s="703"/>
      <c r="G185" s="700"/>
      <c r="I185" s="704"/>
      <c r="J185" s="700"/>
      <c r="K185" s="700"/>
      <c r="L185" s="703"/>
      <c r="M185" s="700"/>
      <c r="O185" s="700"/>
      <c r="P185" s="700"/>
      <c r="Q185" s="693"/>
      <c r="R185" s="700"/>
      <c r="S185" s="700"/>
      <c r="T185" s="700"/>
      <c r="U185" s="693"/>
      <c r="V185" s="700"/>
      <c r="W185" s="700"/>
      <c r="X185" s="700"/>
      <c r="Y185" s="700"/>
      <c r="Z185" s="700"/>
    </row>
    <row r="186" spans="2:26">
      <c r="B186" s="700"/>
      <c r="C186" s="701"/>
      <c r="D186" s="702"/>
      <c r="E186" s="702"/>
      <c r="F186" s="703"/>
      <c r="G186" s="700"/>
      <c r="I186" s="704"/>
      <c r="J186" s="700"/>
      <c r="K186" s="700"/>
      <c r="L186" s="703"/>
      <c r="M186" s="700"/>
      <c r="O186" s="700"/>
      <c r="P186" s="700"/>
      <c r="Q186" s="693"/>
      <c r="R186" s="700"/>
      <c r="S186" s="700"/>
      <c r="T186" s="700"/>
      <c r="U186" s="693"/>
      <c r="V186" s="700"/>
      <c r="W186" s="700"/>
      <c r="X186" s="700"/>
      <c r="Y186" s="700"/>
      <c r="Z186" s="700"/>
    </row>
    <row r="187" spans="2:26">
      <c r="B187" s="700"/>
      <c r="C187" s="701"/>
      <c r="D187" s="702"/>
      <c r="E187" s="702"/>
      <c r="F187" s="703"/>
      <c r="G187" s="700"/>
      <c r="I187" s="704"/>
      <c r="J187" s="700"/>
      <c r="K187" s="700"/>
      <c r="L187" s="703"/>
      <c r="M187" s="700"/>
      <c r="O187" s="700"/>
      <c r="P187" s="700"/>
      <c r="Q187" s="693"/>
      <c r="R187" s="700"/>
      <c r="S187" s="700"/>
      <c r="T187" s="700"/>
      <c r="U187" s="693"/>
      <c r="V187" s="700"/>
      <c r="W187" s="700"/>
      <c r="X187" s="700"/>
      <c r="Y187" s="700"/>
      <c r="Z187" s="700"/>
    </row>
    <row r="188" spans="2:26">
      <c r="B188" s="700"/>
      <c r="C188" s="701"/>
      <c r="D188" s="702"/>
      <c r="E188" s="702"/>
      <c r="F188" s="703"/>
      <c r="G188" s="700"/>
      <c r="I188" s="704"/>
      <c r="J188" s="700"/>
      <c r="K188" s="700"/>
      <c r="L188" s="703"/>
      <c r="M188" s="700"/>
      <c r="O188" s="700"/>
      <c r="P188" s="700"/>
      <c r="Q188" s="693"/>
      <c r="R188" s="700"/>
      <c r="S188" s="700"/>
      <c r="T188" s="700"/>
      <c r="U188" s="693"/>
      <c r="V188" s="700"/>
      <c r="W188" s="700"/>
      <c r="X188" s="700"/>
      <c r="Y188" s="700"/>
      <c r="Z188" s="700"/>
    </row>
    <row r="189" spans="2:26">
      <c r="B189" s="700"/>
      <c r="C189" s="701"/>
      <c r="D189" s="702"/>
      <c r="E189" s="702"/>
      <c r="F189" s="703"/>
      <c r="G189" s="700"/>
      <c r="I189" s="704"/>
      <c r="J189" s="700"/>
      <c r="K189" s="700"/>
      <c r="L189" s="703"/>
      <c r="M189" s="700"/>
      <c r="O189" s="700"/>
      <c r="P189" s="700"/>
      <c r="Q189" s="693"/>
      <c r="R189" s="700"/>
      <c r="S189" s="700"/>
      <c r="T189" s="700"/>
      <c r="U189" s="693"/>
      <c r="V189" s="700"/>
      <c r="W189" s="700"/>
      <c r="X189" s="700"/>
      <c r="Y189" s="700"/>
      <c r="Z189" s="700"/>
    </row>
    <row r="190" spans="2:26">
      <c r="B190" s="700"/>
      <c r="C190" s="701"/>
      <c r="D190" s="702"/>
      <c r="E190" s="702"/>
      <c r="F190" s="703"/>
      <c r="G190" s="700"/>
      <c r="I190" s="704"/>
      <c r="J190" s="700"/>
      <c r="K190" s="700"/>
      <c r="L190" s="703"/>
      <c r="M190" s="700"/>
      <c r="O190" s="700"/>
      <c r="P190" s="700"/>
      <c r="Q190" s="693"/>
      <c r="R190" s="700"/>
      <c r="S190" s="700"/>
      <c r="T190" s="700"/>
      <c r="U190" s="693"/>
      <c r="V190" s="700"/>
      <c r="W190" s="700"/>
      <c r="X190" s="700"/>
      <c r="Y190" s="700"/>
      <c r="Z190" s="700"/>
    </row>
    <row r="191" spans="2:26">
      <c r="B191" s="700"/>
      <c r="C191" s="701"/>
      <c r="D191" s="702"/>
      <c r="E191" s="702"/>
      <c r="F191" s="703"/>
      <c r="G191" s="700"/>
      <c r="I191" s="704"/>
      <c r="J191" s="700"/>
      <c r="K191" s="700"/>
      <c r="L191" s="703"/>
      <c r="M191" s="700"/>
      <c r="O191" s="700"/>
      <c r="P191" s="700"/>
      <c r="Q191" s="693"/>
      <c r="R191" s="700"/>
      <c r="S191" s="700"/>
      <c r="T191" s="700"/>
      <c r="U191" s="693"/>
      <c r="V191" s="700"/>
      <c r="W191" s="700"/>
      <c r="X191" s="700"/>
      <c r="Y191" s="700"/>
      <c r="Z191" s="700"/>
    </row>
    <row r="192" spans="2:26">
      <c r="B192" s="700"/>
      <c r="C192" s="701"/>
      <c r="D192" s="702"/>
      <c r="E192" s="702"/>
      <c r="F192" s="703"/>
      <c r="G192" s="700"/>
      <c r="I192" s="704"/>
      <c r="J192" s="700"/>
      <c r="K192" s="700"/>
      <c r="L192" s="703"/>
      <c r="M192" s="700"/>
      <c r="O192" s="700"/>
      <c r="P192" s="700"/>
      <c r="Q192" s="693"/>
      <c r="R192" s="700"/>
      <c r="S192" s="700"/>
      <c r="T192" s="700"/>
      <c r="U192" s="693"/>
      <c r="V192" s="700"/>
      <c r="W192" s="700"/>
      <c r="X192" s="700"/>
      <c r="Y192" s="700"/>
      <c r="Z192" s="700"/>
    </row>
    <row r="193" spans="2:26">
      <c r="B193" s="700"/>
      <c r="C193" s="701"/>
      <c r="D193" s="702"/>
      <c r="E193" s="702"/>
      <c r="F193" s="703"/>
      <c r="G193" s="700"/>
      <c r="I193" s="704"/>
      <c r="J193" s="700"/>
      <c r="K193" s="700"/>
      <c r="L193" s="703"/>
      <c r="M193" s="700"/>
      <c r="O193" s="700"/>
      <c r="P193" s="700"/>
      <c r="Q193" s="693"/>
      <c r="R193" s="700"/>
      <c r="S193" s="700"/>
      <c r="T193" s="700"/>
      <c r="U193" s="693"/>
      <c r="V193" s="700"/>
      <c r="W193" s="700"/>
      <c r="X193" s="700"/>
      <c r="Y193" s="700"/>
      <c r="Z193" s="700"/>
    </row>
    <row r="194" spans="2:26">
      <c r="B194" s="700"/>
      <c r="C194" s="701"/>
      <c r="D194" s="702"/>
      <c r="E194" s="702"/>
      <c r="F194" s="703"/>
      <c r="G194" s="700"/>
      <c r="I194" s="704"/>
      <c r="J194" s="700"/>
      <c r="K194" s="700"/>
      <c r="L194" s="703"/>
      <c r="M194" s="700"/>
      <c r="O194" s="700"/>
      <c r="P194" s="700"/>
      <c r="Q194" s="693"/>
      <c r="R194" s="700"/>
      <c r="S194" s="700"/>
      <c r="T194" s="700"/>
      <c r="U194" s="693"/>
      <c r="V194" s="700"/>
      <c r="W194" s="700"/>
      <c r="X194" s="700"/>
      <c r="Y194" s="700"/>
      <c r="Z194" s="700"/>
    </row>
    <row r="195" spans="2:26">
      <c r="B195" s="700"/>
      <c r="C195" s="701"/>
      <c r="D195" s="702"/>
      <c r="E195" s="702"/>
      <c r="F195" s="703"/>
      <c r="G195" s="700"/>
      <c r="I195" s="704"/>
      <c r="J195" s="700"/>
      <c r="K195" s="700"/>
      <c r="L195" s="703"/>
      <c r="M195" s="700"/>
      <c r="O195" s="700"/>
      <c r="P195" s="700"/>
      <c r="Q195" s="693"/>
      <c r="R195" s="700"/>
      <c r="S195" s="700"/>
      <c r="T195" s="700"/>
      <c r="U195" s="693"/>
      <c r="V195" s="700"/>
      <c r="W195" s="700"/>
      <c r="X195" s="700"/>
      <c r="Y195" s="700"/>
      <c r="Z195" s="700"/>
    </row>
    <row r="196" spans="2:26">
      <c r="B196" s="700"/>
      <c r="C196" s="701"/>
      <c r="D196" s="702"/>
      <c r="E196" s="702"/>
      <c r="F196" s="703"/>
      <c r="G196" s="700"/>
      <c r="I196" s="704"/>
      <c r="J196" s="700"/>
      <c r="K196" s="700"/>
      <c r="L196" s="703"/>
      <c r="M196" s="700"/>
      <c r="O196" s="700"/>
      <c r="P196" s="700"/>
      <c r="Q196" s="693"/>
      <c r="R196" s="700"/>
      <c r="S196" s="700"/>
      <c r="T196" s="700"/>
      <c r="U196" s="693"/>
      <c r="V196" s="700"/>
      <c r="W196" s="700"/>
      <c r="X196" s="700"/>
      <c r="Y196" s="700"/>
      <c r="Z196" s="700"/>
    </row>
    <row r="197" spans="2:26">
      <c r="B197" s="700"/>
      <c r="C197" s="701"/>
      <c r="D197" s="702"/>
      <c r="E197" s="702"/>
      <c r="F197" s="703"/>
      <c r="G197" s="700"/>
      <c r="I197" s="704"/>
      <c r="J197" s="700"/>
      <c r="K197" s="700"/>
      <c r="L197" s="703"/>
      <c r="M197" s="700"/>
      <c r="O197" s="700"/>
      <c r="P197" s="700"/>
      <c r="Q197" s="693"/>
      <c r="R197" s="700"/>
      <c r="S197" s="700"/>
      <c r="T197" s="700"/>
      <c r="U197" s="693"/>
      <c r="V197" s="700"/>
      <c r="W197" s="700"/>
      <c r="X197" s="700"/>
      <c r="Y197" s="700"/>
      <c r="Z197" s="700"/>
    </row>
    <row r="198" spans="2:26">
      <c r="B198" s="700"/>
      <c r="C198" s="701"/>
      <c r="D198" s="702"/>
      <c r="E198" s="702"/>
      <c r="F198" s="703"/>
      <c r="G198" s="700"/>
      <c r="I198" s="704"/>
      <c r="J198" s="700"/>
      <c r="K198" s="700"/>
      <c r="L198" s="703"/>
      <c r="M198" s="700"/>
      <c r="O198" s="700"/>
      <c r="P198" s="700"/>
      <c r="Q198" s="693"/>
      <c r="R198" s="700"/>
      <c r="S198" s="700"/>
      <c r="T198" s="700"/>
      <c r="U198" s="693"/>
      <c r="V198" s="700"/>
      <c r="W198" s="700"/>
      <c r="X198" s="700"/>
      <c r="Y198" s="700"/>
      <c r="Z198" s="700"/>
    </row>
    <row r="199" spans="2:26">
      <c r="B199" s="700"/>
      <c r="C199" s="701"/>
      <c r="D199" s="702"/>
      <c r="E199" s="702"/>
      <c r="F199" s="703"/>
      <c r="G199" s="700"/>
      <c r="I199" s="704"/>
      <c r="J199" s="700"/>
      <c r="K199" s="700"/>
      <c r="L199" s="703"/>
      <c r="M199" s="700"/>
      <c r="O199" s="700"/>
      <c r="P199" s="700"/>
      <c r="Q199" s="693"/>
      <c r="R199" s="700"/>
      <c r="S199" s="700"/>
      <c r="T199" s="700"/>
      <c r="U199" s="693"/>
      <c r="V199" s="700"/>
      <c r="W199" s="700"/>
      <c r="X199" s="700"/>
      <c r="Y199" s="700"/>
      <c r="Z199" s="700"/>
    </row>
    <row r="200" spans="2:26">
      <c r="B200" s="700"/>
      <c r="C200" s="701"/>
      <c r="D200" s="702"/>
      <c r="E200" s="702"/>
      <c r="F200" s="703"/>
      <c r="G200" s="700"/>
      <c r="I200" s="704"/>
      <c r="J200" s="700"/>
      <c r="K200" s="700"/>
      <c r="L200" s="703"/>
      <c r="M200" s="700"/>
      <c r="O200" s="700"/>
      <c r="P200" s="700"/>
      <c r="Q200" s="693"/>
      <c r="R200" s="700"/>
      <c r="S200" s="700"/>
      <c r="T200" s="700"/>
      <c r="U200" s="693"/>
      <c r="V200" s="700"/>
      <c r="W200" s="700"/>
      <c r="X200" s="700"/>
      <c r="Y200" s="700"/>
      <c r="Z200" s="700"/>
    </row>
    <row r="201" spans="2:26">
      <c r="B201" s="700"/>
      <c r="C201" s="701"/>
      <c r="D201" s="702"/>
      <c r="E201" s="702"/>
      <c r="F201" s="703"/>
      <c r="G201" s="700"/>
      <c r="I201" s="704"/>
      <c r="J201" s="700"/>
      <c r="K201" s="700"/>
      <c r="L201" s="703"/>
      <c r="M201" s="700"/>
      <c r="O201" s="700"/>
      <c r="P201" s="700"/>
      <c r="Q201" s="693"/>
      <c r="R201" s="700"/>
      <c r="S201" s="700"/>
      <c r="T201" s="700"/>
      <c r="U201" s="693"/>
      <c r="V201" s="700"/>
      <c r="W201" s="700"/>
      <c r="X201" s="700"/>
      <c r="Y201" s="700"/>
      <c r="Z201" s="700"/>
    </row>
    <row r="202" spans="2:26">
      <c r="B202" s="700"/>
      <c r="C202" s="701"/>
      <c r="D202" s="702"/>
      <c r="E202" s="702"/>
      <c r="F202" s="703"/>
      <c r="G202" s="700"/>
      <c r="I202" s="704"/>
      <c r="J202" s="700"/>
      <c r="K202" s="700"/>
      <c r="L202" s="703"/>
      <c r="M202" s="700"/>
      <c r="O202" s="700"/>
      <c r="P202" s="700"/>
      <c r="Q202" s="693"/>
      <c r="R202" s="700"/>
      <c r="S202" s="700"/>
      <c r="T202" s="700"/>
      <c r="U202" s="693"/>
      <c r="V202" s="700"/>
      <c r="W202" s="700"/>
      <c r="X202" s="700"/>
      <c r="Y202" s="700"/>
      <c r="Z202" s="700"/>
    </row>
    <row r="203" spans="2:26">
      <c r="B203" s="700"/>
      <c r="C203" s="701"/>
      <c r="D203" s="702"/>
      <c r="E203" s="702"/>
      <c r="F203" s="703"/>
      <c r="G203" s="700"/>
      <c r="I203" s="704"/>
      <c r="J203" s="700"/>
      <c r="K203" s="700"/>
      <c r="L203" s="703"/>
      <c r="M203" s="700"/>
      <c r="O203" s="700"/>
      <c r="P203" s="700"/>
      <c r="Q203" s="693"/>
      <c r="R203" s="700"/>
      <c r="S203" s="700"/>
      <c r="T203" s="700"/>
      <c r="U203" s="693"/>
      <c r="V203" s="700"/>
      <c r="W203" s="700"/>
      <c r="X203" s="700"/>
      <c r="Y203" s="700"/>
      <c r="Z203" s="700"/>
    </row>
    <row r="204" spans="2:26">
      <c r="B204" s="700"/>
      <c r="C204" s="701"/>
      <c r="D204" s="702"/>
      <c r="E204" s="702"/>
      <c r="F204" s="703"/>
      <c r="G204" s="700"/>
      <c r="I204" s="704"/>
      <c r="J204" s="700"/>
      <c r="K204" s="700"/>
      <c r="L204" s="703"/>
      <c r="M204" s="700"/>
      <c r="O204" s="700"/>
      <c r="P204" s="700"/>
      <c r="Q204" s="693"/>
      <c r="R204" s="700"/>
      <c r="S204" s="700"/>
      <c r="T204" s="700"/>
      <c r="U204" s="693"/>
      <c r="V204" s="700"/>
      <c r="W204" s="700"/>
      <c r="X204" s="700"/>
      <c r="Y204" s="700"/>
      <c r="Z204" s="700"/>
    </row>
    <row r="205" spans="2:26">
      <c r="B205" s="700"/>
      <c r="C205" s="701"/>
      <c r="D205" s="702"/>
      <c r="E205" s="702"/>
      <c r="F205" s="703"/>
      <c r="G205" s="700"/>
      <c r="I205" s="704"/>
      <c r="J205" s="700"/>
      <c r="K205" s="700"/>
      <c r="L205" s="703"/>
      <c r="M205" s="700"/>
      <c r="O205" s="700"/>
      <c r="P205" s="700"/>
      <c r="Q205" s="693"/>
      <c r="R205" s="700"/>
      <c r="S205" s="700"/>
      <c r="T205" s="700"/>
      <c r="U205" s="693"/>
      <c r="V205" s="700"/>
      <c r="W205" s="700"/>
      <c r="X205" s="700"/>
      <c r="Y205" s="700"/>
      <c r="Z205" s="700"/>
    </row>
    <row r="206" spans="2:26">
      <c r="B206" s="700"/>
      <c r="C206" s="701"/>
      <c r="D206" s="702"/>
      <c r="E206" s="702"/>
      <c r="F206" s="703"/>
      <c r="G206" s="700"/>
      <c r="I206" s="704"/>
      <c r="J206" s="700"/>
      <c r="K206" s="700"/>
      <c r="L206" s="703"/>
      <c r="M206" s="700"/>
      <c r="O206" s="700"/>
      <c r="P206" s="700"/>
      <c r="Q206" s="693"/>
      <c r="R206" s="700"/>
      <c r="S206" s="700"/>
      <c r="T206" s="700"/>
      <c r="U206" s="693"/>
      <c r="V206" s="700"/>
      <c r="W206" s="700"/>
      <c r="X206" s="700"/>
      <c r="Y206" s="700"/>
      <c r="Z206" s="700"/>
    </row>
    <row r="207" spans="2:26">
      <c r="B207" s="700"/>
      <c r="C207" s="701"/>
      <c r="D207" s="702"/>
      <c r="E207" s="702"/>
      <c r="F207" s="703"/>
      <c r="G207" s="700"/>
      <c r="I207" s="704"/>
      <c r="J207" s="700"/>
      <c r="K207" s="700"/>
      <c r="L207" s="703"/>
      <c r="M207" s="700"/>
      <c r="O207" s="700"/>
      <c r="P207" s="700"/>
      <c r="Q207" s="693"/>
      <c r="R207" s="700"/>
      <c r="S207" s="700"/>
      <c r="T207" s="700"/>
      <c r="U207" s="693"/>
      <c r="V207" s="700"/>
      <c r="W207" s="700"/>
      <c r="X207" s="700"/>
      <c r="Y207" s="700"/>
      <c r="Z207" s="700"/>
    </row>
    <row r="208" spans="2:26">
      <c r="B208" s="700"/>
      <c r="C208" s="701"/>
      <c r="D208" s="702"/>
      <c r="E208" s="702"/>
      <c r="F208" s="703"/>
      <c r="G208" s="700"/>
      <c r="I208" s="704"/>
      <c r="J208" s="700"/>
      <c r="K208" s="700"/>
      <c r="L208" s="703"/>
      <c r="M208" s="700"/>
      <c r="O208" s="700"/>
      <c r="P208" s="700"/>
      <c r="Q208" s="693"/>
      <c r="R208" s="700"/>
      <c r="S208" s="700"/>
      <c r="T208" s="700"/>
      <c r="U208" s="693"/>
      <c r="V208" s="700"/>
      <c r="W208" s="700"/>
      <c r="X208" s="700"/>
      <c r="Y208" s="700"/>
      <c r="Z208" s="700"/>
    </row>
    <row r="209" spans="2:26">
      <c r="B209" s="700"/>
      <c r="C209" s="701"/>
      <c r="D209" s="702"/>
      <c r="E209" s="702"/>
      <c r="F209" s="703"/>
      <c r="G209" s="700"/>
      <c r="I209" s="704"/>
      <c r="J209" s="700"/>
      <c r="K209" s="700"/>
      <c r="L209" s="703"/>
      <c r="M209" s="700"/>
      <c r="O209" s="700"/>
      <c r="P209" s="700"/>
      <c r="Q209" s="693"/>
      <c r="R209" s="700"/>
      <c r="S209" s="700"/>
      <c r="T209" s="700"/>
      <c r="U209" s="693"/>
      <c r="V209" s="700"/>
      <c r="W209" s="700"/>
      <c r="X209" s="700"/>
      <c r="Y209" s="700"/>
      <c r="Z209" s="700"/>
    </row>
    <row r="210" spans="2:26">
      <c r="B210" s="700"/>
      <c r="C210" s="701"/>
      <c r="D210" s="702"/>
      <c r="E210" s="702"/>
      <c r="F210" s="703"/>
      <c r="G210" s="700"/>
      <c r="I210" s="704"/>
      <c r="J210" s="700"/>
      <c r="K210" s="700"/>
      <c r="L210" s="703"/>
      <c r="M210" s="700"/>
      <c r="O210" s="700"/>
      <c r="P210" s="700"/>
      <c r="Q210" s="693"/>
      <c r="R210" s="700"/>
      <c r="S210" s="700"/>
      <c r="T210" s="700"/>
      <c r="U210" s="693"/>
      <c r="V210" s="700"/>
      <c r="W210" s="700"/>
      <c r="X210" s="700"/>
      <c r="Y210" s="700"/>
      <c r="Z210" s="700"/>
    </row>
  </sheetData>
  <dataConsolidate/>
  <mergeCells count="2">
    <mergeCell ref="AI1:AK1"/>
    <mergeCell ref="AM1:AO1"/>
  </mergeCells>
  <printOptions headings="1"/>
  <pageMargins left="0.7" right="0.7" top="0.75" bottom="0.75" header="0.3" footer="0.3"/>
  <pageSetup paperSize="3" orientation="landscape"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26305" r:id="rId4" name="Button 1">
              <controlPr defaultSize="0" print="0" autoFill="0" autoPict="0" macro="[0]!Build_Comp_By_Comp_Comparison">
                <anchor moveWithCells="1" sizeWithCells="1">
                  <from>
                    <xdr:col>26</xdr:col>
                    <xdr:colOff>68580</xdr:colOff>
                    <xdr:row>0</xdr:row>
                    <xdr:rowOff>38100</xdr:rowOff>
                  </from>
                  <to>
                    <xdr:col>26</xdr:col>
                    <xdr:colOff>1341120</xdr:colOff>
                    <xdr:row>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6F6B34B-8A81-4C4F-B2D3-0BA5586D5DE9}">
          <x14:formula1>
            <xm:f>'Program Data'!$B$2:$B$10</xm:f>
          </x14:formula1>
          <xm:sqref>A4:A406</xm:sqref>
        </x14:dataValidation>
      </x14:dataValidation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F3173-D2E7-4AF3-8175-6291AD77DEE8}">
  <sheetPr codeName="Sheet20"/>
  <dimension ref="A1:K73"/>
  <sheetViews>
    <sheetView view="pageLayout" zoomScaleNormal="130" workbookViewId="0"/>
  </sheetViews>
  <sheetFormatPr defaultRowHeight="14.4"/>
  <cols>
    <col min="1" max="1" width="39.33203125" customWidth="1"/>
    <col min="2" max="2" width="12.5546875" customWidth="1"/>
    <col min="3" max="3" width="10.5546875" bestFit="1" customWidth="1"/>
  </cols>
  <sheetData>
    <row r="1" spans="1:11" ht="15.6">
      <c r="A1" s="663" t="s">
        <v>388</v>
      </c>
      <c r="B1" s="34">
        <f>INPUT!B16</f>
        <v>0</v>
      </c>
      <c r="C1" s="34"/>
      <c r="D1" s="34"/>
      <c r="E1" s="34"/>
      <c r="F1" s="34"/>
      <c r="G1" s="34"/>
    </row>
    <row r="2" spans="1:11" ht="15.6">
      <c r="A2" s="663" t="s">
        <v>389</v>
      </c>
      <c r="B2" s="658">
        <f>INPUT!B30</f>
        <v>107350009</v>
      </c>
      <c r="C2" s="34"/>
      <c r="D2" s="34"/>
      <c r="E2" s="34"/>
      <c r="F2" s="34"/>
      <c r="G2" s="34"/>
    </row>
    <row r="3" spans="1:11" ht="15.6">
      <c r="A3" s="663" t="s">
        <v>390</v>
      </c>
      <c r="B3" s="34" t="str">
        <f>INPUT!L2</f>
        <v>Prop 8</v>
      </c>
      <c r="C3" s="34"/>
      <c r="D3" s="34"/>
      <c r="E3" s="34"/>
      <c r="F3" s="34"/>
      <c r="G3" s="34"/>
    </row>
    <row r="4" spans="1:11" ht="15.6">
      <c r="A4" s="663" t="s">
        <v>391</v>
      </c>
      <c r="B4" s="662">
        <f>INPUT!B5</f>
        <v>46031</v>
      </c>
      <c r="C4" s="34"/>
      <c r="D4" s="34"/>
      <c r="E4" s="34"/>
      <c r="F4" s="34"/>
      <c r="G4" s="34"/>
    </row>
    <row r="5" spans="1:11" ht="15.6">
      <c r="A5" s="34"/>
      <c r="B5" s="34"/>
      <c r="C5" s="34"/>
      <c r="D5" s="34"/>
      <c r="E5" s="34"/>
      <c r="F5" s="34"/>
      <c r="G5" s="34"/>
    </row>
    <row r="6" spans="1:11" ht="15.6">
      <c r="A6" s="663" t="s">
        <v>392</v>
      </c>
      <c r="B6" s="34"/>
      <c r="C6" s="34"/>
      <c r="D6" s="34"/>
      <c r="E6" s="34"/>
      <c r="F6" s="34"/>
      <c r="G6" s="34"/>
    </row>
    <row r="7" spans="1:11" ht="15.6">
      <c r="A7" s="664" t="s">
        <v>393</v>
      </c>
      <c r="B7" s="658">
        <f>B2</f>
        <v>107350009</v>
      </c>
      <c r="C7" s="34"/>
      <c r="D7" s="34"/>
      <c r="E7" s="34"/>
      <c r="F7" s="34"/>
      <c r="G7" s="34"/>
    </row>
    <row r="8" spans="1:11" ht="15.6">
      <c r="A8" s="664" t="s">
        <v>394</v>
      </c>
      <c r="B8" s="658" t="str">
        <f>INPUT!B33</f>
        <v>Light Industrial</v>
      </c>
      <c r="C8" s="34"/>
      <c r="D8" s="34"/>
      <c r="E8" s="34"/>
      <c r="F8" s="34"/>
      <c r="G8" s="34"/>
    </row>
    <row r="9" spans="1:11" ht="15.6">
      <c r="A9" s="664" t="s">
        <v>419</v>
      </c>
      <c r="B9" s="665">
        <f>INPUT!B34</f>
        <v>10490</v>
      </c>
      <c r="C9" s="34"/>
      <c r="D9" s="34"/>
      <c r="E9" s="34"/>
      <c r="F9" s="34"/>
      <c r="G9" s="34"/>
    </row>
    <row r="10" spans="1:11" ht="15.6">
      <c r="A10" s="664" t="s">
        <v>395</v>
      </c>
      <c r="B10" s="34" t="str">
        <f>INPUT!B31&amp;", "&amp;INPUT!B32</f>
        <v>1215 GRAPHITE DR, CORONA</v>
      </c>
      <c r="C10" s="34"/>
      <c r="D10" s="34"/>
      <c r="E10" s="34"/>
      <c r="F10" s="34"/>
      <c r="G10" s="34"/>
    </row>
    <row r="11" spans="1:11" ht="15.6">
      <c r="A11" s="666" t="s">
        <v>396</v>
      </c>
      <c r="B11" s="34"/>
      <c r="C11" s="34"/>
      <c r="D11" s="34"/>
      <c r="E11" s="34"/>
      <c r="F11" s="34"/>
      <c r="G11" s="34"/>
    </row>
    <row r="12" spans="1:11" ht="45" customHeight="1">
      <c r="A12" s="841"/>
      <c r="B12" s="841"/>
      <c r="C12" s="841"/>
      <c r="D12" s="841"/>
      <c r="E12" s="841"/>
      <c r="F12" s="841"/>
      <c r="G12" s="841"/>
      <c r="H12" s="667"/>
      <c r="I12" s="667"/>
      <c r="K12" s="397"/>
    </row>
    <row r="13" spans="1:11" ht="15.6">
      <c r="A13" s="668"/>
      <c r="B13" s="668"/>
      <c r="C13" s="668"/>
      <c r="D13" s="668"/>
      <c r="E13" s="668"/>
      <c r="F13" s="668"/>
      <c r="G13" s="668"/>
      <c r="H13" s="667"/>
      <c r="I13" s="667"/>
      <c r="K13" s="397"/>
    </row>
    <row r="14" spans="1:11" ht="15.6">
      <c r="A14" s="663" t="s">
        <v>397</v>
      </c>
      <c r="B14" s="664"/>
      <c r="C14" s="34"/>
      <c r="D14" s="34"/>
      <c r="E14" s="34"/>
      <c r="F14" s="34"/>
      <c r="G14" s="34"/>
    </row>
    <row r="15" spans="1:11" ht="15.6">
      <c r="A15" s="658" t="s">
        <v>424</v>
      </c>
      <c r="B15" s="34"/>
      <c r="C15" s="658"/>
      <c r="D15" s="34"/>
      <c r="E15" s="34"/>
      <c r="F15" s="34"/>
      <c r="G15" s="34"/>
    </row>
    <row r="16" spans="1:11" ht="15.6">
      <c r="A16" s="666" t="s">
        <v>396</v>
      </c>
      <c r="B16" s="34"/>
      <c r="C16" s="34"/>
      <c r="D16" s="34"/>
      <c r="E16" s="34"/>
      <c r="F16" s="34"/>
      <c r="G16" s="34"/>
    </row>
    <row r="17" spans="1:11" ht="45" customHeight="1">
      <c r="A17" s="842"/>
      <c r="B17" s="842"/>
      <c r="C17" s="842"/>
      <c r="D17" s="842"/>
      <c r="E17" s="842"/>
      <c r="F17" s="842"/>
      <c r="G17" s="842"/>
      <c r="H17" s="667"/>
      <c r="I17" s="667"/>
      <c r="K17" s="397"/>
    </row>
    <row r="18" spans="1:11" ht="15.6">
      <c r="A18" s="668"/>
      <c r="B18" s="668"/>
      <c r="C18" s="668"/>
      <c r="D18" s="668"/>
      <c r="E18" s="668"/>
      <c r="F18" s="668"/>
      <c r="G18" s="668"/>
      <c r="H18" s="667"/>
      <c r="I18" s="667"/>
      <c r="K18" s="397"/>
    </row>
    <row r="19" spans="1:11" ht="15.6">
      <c r="A19" s="669" t="s">
        <v>398</v>
      </c>
      <c r="B19" s="34"/>
      <c r="C19" s="658"/>
      <c r="D19" s="34"/>
      <c r="E19" s="34"/>
      <c r="F19" s="34"/>
      <c r="G19" s="34"/>
    </row>
    <row r="20" spans="1:11" ht="15.6">
      <c r="A20" s="675">
        <f>INPUT!B26</f>
        <v>3928960</v>
      </c>
      <c r="B20" s="674">
        <f>A20/B9</f>
        <v>374.54337464251671</v>
      </c>
      <c r="C20" s="658" t="s">
        <v>399</v>
      </c>
      <c r="D20" s="34"/>
      <c r="E20" s="34"/>
      <c r="F20" s="34"/>
      <c r="G20" s="34"/>
    </row>
    <row r="21" spans="1:11" ht="15.6">
      <c r="A21" s="34"/>
      <c r="B21" s="664"/>
      <c r="C21" s="658"/>
      <c r="D21" s="34"/>
      <c r="E21" s="34"/>
      <c r="F21" s="34"/>
      <c r="G21" s="34"/>
    </row>
    <row r="22" spans="1:11" ht="15.6">
      <c r="A22" s="663" t="s">
        <v>400</v>
      </c>
      <c r="B22" s="664"/>
      <c r="C22" s="658"/>
      <c r="D22" s="34"/>
      <c r="E22" s="34"/>
      <c r="F22" s="34"/>
      <c r="G22" s="34"/>
    </row>
    <row r="23" spans="1:11" ht="15.6">
      <c r="A23" s="675">
        <f>INPUT!B25</f>
        <v>0</v>
      </c>
      <c r="B23" s="674">
        <f>A23/B9</f>
        <v>0</v>
      </c>
      <c r="C23" s="658" t="s">
        <v>399</v>
      </c>
      <c r="D23" s="34"/>
      <c r="E23" s="34"/>
      <c r="F23" s="34"/>
      <c r="G23" s="34"/>
    </row>
    <row r="24" spans="1:11" ht="15.6">
      <c r="A24" s="34"/>
      <c r="B24" s="664"/>
      <c r="C24" s="658"/>
      <c r="D24" s="34"/>
      <c r="E24" s="34"/>
      <c r="F24" s="34"/>
      <c r="G24" s="34"/>
    </row>
    <row r="25" spans="1:11" ht="15.6">
      <c r="A25" s="663" t="s">
        <v>401</v>
      </c>
      <c r="B25" s="664"/>
      <c r="C25" s="658"/>
      <c r="D25" s="34"/>
      <c r="E25" s="34"/>
      <c r="F25" s="34"/>
      <c r="G25" s="34"/>
    </row>
    <row r="26" spans="1:11" ht="15.6">
      <c r="A26" s="675">
        <f>INPUT!B27</f>
        <v>0</v>
      </c>
      <c r="B26" s="674">
        <f>A26/B9</f>
        <v>0</v>
      </c>
      <c r="C26" s="658" t="s">
        <v>399</v>
      </c>
      <c r="D26" s="34"/>
      <c r="E26" s="34"/>
      <c r="F26" s="34"/>
      <c r="G26" s="34"/>
    </row>
    <row r="27" spans="1:11" ht="15.6">
      <c r="A27" s="665"/>
      <c r="B27" s="34"/>
      <c r="C27" s="658"/>
      <c r="D27" s="34"/>
      <c r="E27" s="34"/>
      <c r="F27" s="34"/>
      <c r="G27" s="34"/>
    </row>
    <row r="28" spans="1:11" ht="15.6">
      <c r="A28" s="34"/>
      <c r="B28" s="34"/>
      <c r="C28" s="658"/>
      <c r="D28" s="34"/>
      <c r="E28" s="34"/>
      <c r="F28" s="34"/>
      <c r="G28" s="34"/>
    </row>
    <row r="29" spans="1:11" ht="15.6">
      <c r="A29" s="663" t="s">
        <v>402</v>
      </c>
      <c r="B29" s="34"/>
      <c r="C29" s="658"/>
      <c r="D29" s="34"/>
      <c r="E29" s="34"/>
      <c r="F29" s="34"/>
      <c r="G29" s="34"/>
    </row>
    <row r="30" spans="1:11" ht="15.6">
      <c r="A30" s="664" t="s">
        <v>403</v>
      </c>
      <c r="B30" s="673" t="s">
        <v>420</v>
      </c>
      <c r="C30" s="658"/>
      <c r="D30" s="34"/>
      <c r="E30" s="34"/>
      <c r="F30" s="34"/>
      <c r="G30" s="34"/>
    </row>
    <row r="31" spans="1:11" ht="15.6">
      <c r="A31" s="664" t="s">
        <v>404</v>
      </c>
      <c r="B31" s="673" t="s">
        <v>420</v>
      </c>
      <c r="C31" s="658"/>
      <c r="D31" s="34"/>
      <c r="E31" s="34"/>
      <c r="F31" s="34"/>
      <c r="G31" s="34"/>
    </row>
    <row r="32" spans="1:11" ht="15.6">
      <c r="A32" s="664" t="s">
        <v>405</v>
      </c>
      <c r="B32" s="662">
        <v>44560</v>
      </c>
      <c r="C32" s="658"/>
      <c r="D32" s="34"/>
      <c r="E32" s="34"/>
      <c r="F32" s="34"/>
      <c r="G32" s="34"/>
    </row>
    <row r="33" spans="1:11" ht="15.6">
      <c r="A33" s="670" t="s">
        <v>406</v>
      </c>
      <c r="B33" s="665">
        <v>23445000</v>
      </c>
      <c r="C33" s="671">
        <f>B33/B9</f>
        <v>2234.9857006673024</v>
      </c>
      <c r="D33" s="34" t="s">
        <v>399</v>
      </c>
      <c r="E33" s="34"/>
      <c r="F33" s="34"/>
      <c r="G33" s="34"/>
    </row>
    <row r="34" spans="1:11" ht="15.6">
      <c r="A34" s="670" t="s">
        <v>407</v>
      </c>
      <c r="B34" s="665">
        <v>23445000</v>
      </c>
      <c r="C34" s="671">
        <f>B34/B9</f>
        <v>2234.9857006673024</v>
      </c>
      <c r="D34" s="34" t="s">
        <v>399</v>
      </c>
      <c r="E34" s="34"/>
      <c r="F34" s="34"/>
      <c r="G34" s="34"/>
    </row>
    <row r="35" spans="1:11" ht="15.6">
      <c r="A35" s="670" t="s">
        <v>397</v>
      </c>
      <c r="B35" s="658" t="s">
        <v>424</v>
      </c>
      <c r="C35" s="34"/>
      <c r="D35" s="34"/>
      <c r="E35" s="34"/>
      <c r="F35" s="34"/>
      <c r="G35" s="34"/>
    </row>
    <row r="36" spans="1:11" ht="15.6">
      <c r="A36" s="666" t="s">
        <v>396</v>
      </c>
      <c r="B36" s="34"/>
      <c r="C36" s="34"/>
      <c r="D36" s="34"/>
      <c r="E36" s="34"/>
      <c r="F36" s="34"/>
      <c r="G36" s="34"/>
    </row>
    <row r="37" spans="1:11" ht="45" customHeight="1">
      <c r="A37" s="842"/>
      <c r="B37" s="842"/>
      <c r="C37" s="842"/>
      <c r="D37" s="842"/>
      <c r="E37" s="842"/>
      <c r="F37" s="842"/>
      <c r="G37" s="842"/>
      <c r="H37" s="667"/>
      <c r="I37" s="667"/>
      <c r="K37" s="397"/>
    </row>
    <row r="38" spans="1:11" ht="15.6">
      <c r="A38" s="668"/>
      <c r="B38" s="668"/>
      <c r="C38" s="668"/>
      <c r="D38" s="668"/>
      <c r="E38" s="668"/>
      <c r="F38" s="668"/>
      <c r="G38" s="668"/>
      <c r="H38" s="667"/>
      <c r="I38" s="667"/>
      <c r="K38" s="397"/>
    </row>
    <row r="39" spans="1:11" ht="15.6">
      <c r="A39" s="663" t="s">
        <v>408</v>
      </c>
      <c r="B39" s="34"/>
      <c r="C39" s="658"/>
      <c r="D39" s="34"/>
      <c r="E39" s="34"/>
      <c r="F39" s="34"/>
      <c r="G39" s="34"/>
    </row>
    <row r="40" spans="1:11" ht="15.6">
      <c r="A40" s="664" t="s">
        <v>409</v>
      </c>
      <c r="B40" s="658" t="s">
        <v>421</v>
      </c>
      <c r="C40" s="658"/>
      <c r="D40" s="34"/>
      <c r="E40" s="34"/>
      <c r="F40" s="34"/>
      <c r="G40" s="34"/>
    </row>
    <row r="41" spans="1:11" ht="15.6">
      <c r="A41" s="664" t="s">
        <v>404</v>
      </c>
      <c r="B41" s="658"/>
      <c r="C41" s="658"/>
      <c r="D41" s="34"/>
      <c r="E41" s="34"/>
      <c r="F41" s="34"/>
      <c r="G41" s="34"/>
    </row>
    <row r="42" spans="1:11" ht="15.6">
      <c r="A42" s="664" t="s">
        <v>405</v>
      </c>
      <c r="B42" s="662"/>
      <c r="C42" s="658"/>
      <c r="D42" s="34"/>
      <c r="E42" s="34"/>
      <c r="F42" s="34"/>
      <c r="G42" s="34"/>
    </row>
    <row r="43" spans="1:11" ht="15.6">
      <c r="A43" s="670" t="s">
        <v>406</v>
      </c>
      <c r="B43" s="665"/>
      <c r="C43" s="672">
        <f>B43/B9</f>
        <v>0</v>
      </c>
      <c r="D43" s="34" t="s">
        <v>399</v>
      </c>
      <c r="E43" s="34"/>
      <c r="F43" s="34"/>
      <c r="G43" s="34"/>
    </row>
    <row r="44" spans="1:11" ht="15.6">
      <c r="A44" s="670" t="s">
        <v>407</v>
      </c>
      <c r="B44" s="665"/>
      <c r="C44" s="34"/>
      <c r="D44" s="34"/>
      <c r="E44" s="34"/>
      <c r="F44" s="34"/>
      <c r="G44" s="34"/>
    </row>
    <row r="45" spans="1:11" ht="15.6">
      <c r="A45" s="670" t="s">
        <v>397</v>
      </c>
      <c r="B45" s="662"/>
      <c r="C45" s="34"/>
      <c r="D45" s="34"/>
      <c r="E45" s="34"/>
      <c r="F45" s="34"/>
      <c r="G45" s="34"/>
    </row>
    <row r="46" spans="1:11" ht="15.6">
      <c r="A46" s="666" t="s">
        <v>396</v>
      </c>
      <c r="B46" s="658"/>
      <c r="C46" s="34"/>
      <c r="D46" s="34"/>
      <c r="E46" s="34"/>
      <c r="F46" s="34"/>
      <c r="G46" s="34"/>
    </row>
    <row r="47" spans="1:11" ht="45" customHeight="1">
      <c r="A47" s="841"/>
      <c r="B47" s="841"/>
      <c r="C47" s="841"/>
      <c r="D47" s="841"/>
      <c r="E47" s="841"/>
      <c r="F47" s="841"/>
      <c r="G47" s="841"/>
      <c r="H47" s="667"/>
      <c r="I47" s="667"/>
      <c r="K47" s="397"/>
    </row>
    <row r="48" spans="1:11" ht="15.6">
      <c r="A48" s="668"/>
      <c r="B48" s="668"/>
      <c r="C48" s="668"/>
      <c r="D48" s="668"/>
      <c r="E48" s="668"/>
      <c r="F48" s="668"/>
      <c r="G48" s="668"/>
      <c r="H48" s="667"/>
      <c r="I48" s="667"/>
      <c r="K48" s="397"/>
    </row>
    <row r="49" spans="1:11" ht="15.6">
      <c r="A49" s="668"/>
      <c r="B49" s="668"/>
      <c r="C49" s="668"/>
      <c r="D49" s="668"/>
      <c r="E49" s="668"/>
      <c r="F49" s="668"/>
      <c r="G49" s="668"/>
      <c r="H49" s="667"/>
      <c r="I49" s="667"/>
      <c r="K49" s="397"/>
    </row>
    <row r="50" spans="1:11" ht="15.6">
      <c r="A50" s="663" t="s">
        <v>410</v>
      </c>
      <c r="B50" s="658"/>
      <c r="C50" s="658"/>
      <c r="D50" s="34"/>
      <c r="E50" s="34"/>
      <c r="F50" s="34"/>
      <c r="G50" s="34"/>
    </row>
    <row r="51" spans="1:11" ht="15.6">
      <c r="A51" s="670" t="s">
        <v>411</v>
      </c>
      <c r="B51" s="658" t="s">
        <v>421</v>
      </c>
      <c r="C51" s="658"/>
      <c r="D51" s="34"/>
      <c r="E51" s="34"/>
      <c r="F51" s="34"/>
      <c r="G51" s="34"/>
    </row>
    <row r="52" spans="1:11" ht="15.6">
      <c r="A52" s="670" t="s">
        <v>412</v>
      </c>
      <c r="B52" s="658" t="s">
        <v>374</v>
      </c>
      <c r="C52" s="658"/>
      <c r="D52" s="34"/>
      <c r="E52" s="34"/>
      <c r="F52" s="34"/>
      <c r="G52" s="34"/>
    </row>
    <row r="53" spans="1:11" ht="15.6">
      <c r="A53" s="664" t="s">
        <v>413</v>
      </c>
      <c r="B53" s="658" t="s">
        <v>421</v>
      </c>
      <c r="C53" s="673"/>
      <c r="D53" s="673"/>
      <c r="E53" s="34"/>
      <c r="F53" s="34"/>
      <c r="G53" s="34"/>
    </row>
    <row r="54" spans="1:11" ht="15.6">
      <c r="A54" s="670" t="s">
        <v>414</v>
      </c>
      <c r="B54" s="658" t="s">
        <v>374</v>
      </c>
      <c r="C54" s="664"/>
      <c r="D54" s="34"/>
      <c r="E54" s="34"/>
      <c r="F54" s="34"/>
      <c r="G54" s="34"/>
    </row>
    <row r="55" spans="1:11" ht="15.6">
      <c r="A55" s="666" t="s">
        <v>396</v>
      </c>
      <c r="B55" s="658"/>
      <c r="C55" s="34"/>
      <c r="D55" s="34"/>
      <c r="E55" s="34"/>
      <c r="F55" s="34"/>
      <c r="G55" s="34"/>
    </row>
    <row r="56" spans="1:11" ht="45" customHeight="1">
      <c r="A56" s="841"/>
      <c r="B56" s="841"/>
      <c r="C56" s="841"/>
      <c r="D56" s="841"/>
      <c r="E56" s="841"/>
      <c r="F56" s="841"/>
      <c r="G56" s="841"/>
      <c r="H56" s="667"/>
      <c r="I56" s="667"/>
      <c r="K56" s="397"/>
    </row>
    <row r="57" spans="1:11" ht="15.6">
      <c r="A57" s="34"/>
      <c r="B57" s="34"/>
      <c r="C57" s="658"/>
      <c r="D57" s="34"/>
      <c r="E57" s="34"/>
      <c r="F57" s="34"/>
      <c r="G57" s="34"/>
    </row>
    <row r="58" spans="1:11" ht="15.6">
      <c r="A58" s="663" t="s">
        <v>415</v>
      </c>
      <c r="B58" s="34"/>
      <c r="C58" s="658"/>
      <c r="D58" s="34"/>
      <c r="E58" s="34"/>
      <c r="F58" s="34"/>
      <c r="G58" s="34"/>
    </row>
    <row r="59" spans="1:11" ht="15.6">
      <c r="A59" s="34" t="s">
        <v>420</v>
      </c>
      <c r="B59" s="34"/>
      <c r="C59" s="658"/>
      <c r="D59" s="34"/>
      <c r="E59" s="34"/>
      <c r="F59" s="34"/>
      <c r="G59" s="34"/>
    </row>
    <row r="60" spans="1:11" ht="15.6">
      <c r="A60" s="34"/>
      <c r="B60" s="34"/>
      <c r="C60" s="658"/>
      <c r="D60" s="34"/>
      <c r="E60" s="34"/>
      <c r="F60" s="34"/>
      <c r="G60" s="34"/>
    </row>
    <row r="61" spans="1:11" ht="15.6">
      <c r="A61" s="663" t="s">
        <v>416</v>
      </c>
      <c r="B61" s="34"/>
      <c r="C61" s="658"/>
      <c r="D61" s="34"/>
      <c r="E61" s="34"/>
      <c r="F61" s="34"/>
      <c r="G61" s="34"/>
    </row>
    <row r="62" spans="1:11" ht="15.6">
      <c r="A62" s="676">
        <v>16672000</v>
      </c>
      <c r="B62" s="658"/>
      <c r="C62" s="658"/>
      <c r="D62" s="34"/>
      <c r="E62" s="34"/>
      <c r="F62" s="34"/>
      <c r="G62" s="34"/>
    </row>
    <row r="63" spans="1:11" ht="15.6">
      <c r="A63" s="666" t="s">
        <v>396</v>
      </c>
      <c r="B63" s="658"/>
      <c r="C63" s="34"/>
      <c r="D63" s="34"/>
      <c r="E63" s="34"/>
      <c r="F63" s="34"/>
      <c r="G63" s="34"/>
    </row>
    <row r="64" spans="1:11" ht="45" customHeight="1">
      <c r="A64" s="841" t="s">
        <v>422</v>
      </c>
      <c r="B64" s="841"/>
      <c r="C64" s="841"/>
      <c r="D64" s="841"/>
      <c r="E64" s="841"/>
      <c r="F64" s="841"/>
      <c r="G64" s="841"/>
      <c r="H64" s="667"/>
      <c r="I64" s="667"/>
      <c r="K64" s="397"/>
    </row>
    <row r="65" spans="1:11" ht="15.6">
      <c r="A65" s="34"/>
      <c r="B65" s="34"/>
      <c r="C65" s="34"/>
      <c r="D65" s="34"/>
      <c r="E65" s="34"/>
      <c r="F65" s="34"/>
      <c r="G65" s="34"/>
    </row>
    <row r="66" spans="1:11" ht="15.6">
      <c r="A66" s="663" t="s">
        <v>417</v>
      </c>
      <c r="B66" s="34"/>
      <c r="C66" s="34"/>
      <c r="D66" s="34"/>
      <c r="E66" s="34"/>
      <c r="F66" s="34"/>
      <c r="G66" s="34"/>
    </row>
    <row r="67" spans="1:11" ht="15.6">
      <c r="A67" s="666" t="s">
        <v>396</v>
      </c>
      <c r="B67" s="34"/>
      <c r="C67" s="34"/>
      <c r="D67" s="34"/>
      <c r="E67" s="34"/>
      <c r="F67" s="34"/>
      <c r="G67" s="34"/>
    </row>
    <row r="68" spans="1:11" ht="45" customHeight="1">
      <c r="A68" s="841" t="s">
        <v>425</v>
      </c>
      <c r="B68" s="841"/>
      <c r="C68" s="841"/>
      <c r="D68" s="841"/>
      <c r="E68" s="841"/>
      <c r="F68" s="841"/>
      <c r="G68" s="841"/>
      <c r="H68" s="667"/>
      <c r="I68" s="667"/>
      <c r="K68" s="397"/>
    </row>
    <row r="69" spans="1:11" ht="15.6">
      <c r="A69" s="34"/>
      <c r="B69" s="34"/>
      <c r="C69" s="34"/>
      <c r="D69" s="34"/>
      <c r="E69" s="34"/>
      <c r="F69" s="34"/>
      <c r="G69" s="34"/>
    </row>
    <row r="70" spans="1:11" ht="15.6">
      <c r="A70" s="663" t="s">
        <v>418</v>
      </c>
      <c r="B70" s="658"/>
      <c r="C70" s="658"/>
      <c r="D70" s="34"/>
      <c r="E70" s="34"/>
      <c r="F70" s="34"/>
      <c r="G70" s="34"/>
    </row>
    <row r="71" spans="1:11">
      <c r="A71" s="677" t="s">
        <v>423</v>
      </c>
      <c r="C71" s="16"/>
    </row>
    <row r="73" spans="1:11">
      <c r="A73" s="189"/>
    </row>
  </sheetData>
  <mergeCells count="7">
    <mergeCell ref="A68:G68"/>
    <mergeCell ref="A12:G12"/>
    <mergeCell ref="A17:G17"/>
    <mergeCell ref="A37:G37"/>
    <mergeCell ref="A47:G47"/>
    <mergeCell ref="A56:G56"/>
    <mergeCell ref="A64:G64"/>
  </mergeCells>
  <hyperlinks>
    <hyperlink ref="A71" r:id="rId1" xr:uid="{D289D552-AC7D-4D4F-9A1F-E6D43FA6A051}"/>
  </hyperlinks>
  <pageMargins left="0.25" right="0.25" top="0.75" bottom="0.75" header="0.3" footer="0.3"/>
  <pageSetup scale="96" orientation="portrait" r:id="rId2"/>
  <rowBreaks count="1" manualBreakCount="1">
    <brk id="38" max="16383" man="1"/>
  </rowBreaks>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F064F-6F3F-4B3C-A62C-A4975BE329B7}">
  <sheetPr codeName="Sheet19"/>
  <dimension ref="A1:Z68"/>
  <sheetViews>
    <sheetView showGridLines="0" showZeros="0" zoomScale="115" zoomScaleNormal="115" zoomScalePageLayoutView="115" workbookViewId="0">
      <selection activeCell="A2" sqref="A2:B2"/>
    </sheetView>
  </sheetViews>
  <sheetFormatPr defaultColWidth="9.109375" defaultRowHeight="15" customHeight="1"/>
  <cols>
    <col min="1" max="1" width="27.5546875" style="256" customWidth="1"/>
    <col min="2" max="2" width="26" style="257" customWidth="1"/>
    <col min="3" max="3" width="2.5546875" style="21" customWidth="1"/>
    <col min="4" max="4" width="10.6640625" style="21" customWidth="1"/>
    <col min="5" max="5" width="2.109375" style="21" customWidth="1"/>
    <col min="6" max="6" width="10.6640625" style="21" customWidth="1"/>
    <col min="7" max="7" width="9.109375" style="21"/>
    <col min="8" max="8" width="2" style="21" customWidth="1"/>
    <col min="9" max="9" width="10.5546875" style="21" customWidth="1"/>
    <col min="10" max="10" width="9.109375" style="21"/>
    <col min="11" max="11" width="2" style="21" customWidth="1"/>
    <col min="12" max="12" width="10.5546875" style="21" customWidth="1"/>
    <col min="13" max="13" width="9.109375" style="21"/>
    <col min="14" max="14" width="9.109375" style="21" customWidth="1"/>
    <col min="15" max="15" width="9.109375" style="21"/>
    <col min="16" max="16" width="9.33203125" style="21" customWidth="1"/>
    <col min="17" max="17" width="8.6640625" style="21" customWidth="1"/>
    <col min="18" max="18" width="12.6640625" style="21" customWidth="1"/>
    <col min="19" max="19" width="14.6640625" style="21" customWidth="1"/>
    <col min="20" max="20" width="15.6640625" style="21" customWidth="1"/>
    <col min="21" max="21" width="13.33203125" style="23" customWidth="1"/>
    <col min="22" max="22" width="15.33203125" style="21" customWidth="1"/>
    <col min="23" max="23" width="7.109375" style="21" bestFit="1" customWidth="1"/>
    <col min="24" max="24" width="14.44140625" style="21" customWidth="1"/>
    <col min="25" max="25" width="10.88671875" style="21" customWidth="1"/>
    <col min="26" max="29" width="9.109375" style="21"/>
    <col min="30" max="30" width="12.5546875" style="21" customWidth="1"/>
    <col min="31" max="16384" width="9.109375" style="21"/>
  </cols>
  <sheetData>
    <row r="1" spans="1:26" ht="3.75" customHeight="1">
      <c r="A1" s="21"/>
      <c r="B1" s="21"/>
      <c r="Q1" s="271"/>
      <c r="R1" s="271"/>
      <c r="S1" s="271"/>
      <c r="T1" s="271"/>
      <c r="U1" s="242"/>
      <c r="V1" s="271"/>
      <c r="W1" s="271"/>
      <c r="X1" s="271"/>
    </row>
    <row r="2" spans="1:26" ht="15" customHeight="1">
      <c r="A2" s="825" t="s">
        <v>307</v>
      </c>
      <c r="B2" s="825"/>
      <c r="C2" s="281"/>
      <c r="D2" s="301" t="s">
        <v>91</v>
      </c>
      <c r="E2" s="272"/>
      <c r="F2" s="301" t="s">
        <v>134</v>
      </c>
      <c r="G2" s="298" t="b">
        <v>0</v>
      </c>
      <c r="H2" s="272"/>
      <c r="I2" s="301" t="s">
        <v>267</v>
      </c>
      <c r="J2" s="298" t="b">
        <v>0</v>
      </c>
      <c r="K2" s="272"/>
      <c r="L2" s="301" t="s">
        <v>277</v>
      </c>
      <c r="M2" s="298" t="b">
        <v>0</v>
      </c>
      <c r="N2" s="272"/>
      <c r="O2" s="276"/>
      <c r="P2" s="272"/>
      <c r="Q2" s="537" t="s">
        <v>303</v>
      </c>
      <c r="R2" s="538" t="s">
        <v>305</v>
      </c>
      <c r="S2" s="537" t="s">
        <v>306</v>
      </c>
      <c r="T2" s="539" t="s">
        <v>304</v>
      </c>
      <c r="U2" s="533"/>
      <c r="V2" s="533"/>
      <c r="W2" s="533"/>
      <c r="X2" s="533"/>
      <c r="Y2" s="272"/>
      <c r="Z2" s="272"/>
    </row>
    <row r="3" spans="1:26" ht="15" customHeight="1">
      <c r="A3" s="835" t="s">
        <v>281</v>
      </c>
      <c r="B3" s="835"/>
      <c r="C3" s="282"/>
      <c r="D3" s="297" t="s">
        <v>121</v>
      </c>
      <c r="E3" s="272"/>
      <c r="F3" s="301" t="s">
        <v>135</v>
      </c>
      <c r="G3" s="298" t="b">
        <v>0</v>
      </c>
      <c r="H3" s="272"/>
      <c r="I3" s="301" t="s">
        <v>268</v>
      </c>
      <c r="J3" s="298" t="b">
        <v>0</v>
      </c>
      <c r="K3" s="272"/>
      <c r="L3" s="301" t="s">
        <v>278</v>
      </c>
      <c r="M3" s="298" t="b">
        <v>0</v>
      </c>
      <c r="N3" s="272"/>
      <c r="O3" s="276"/>
      <c r="P3" s="272"/>
      <c r="Q3" s="540"/>
      <c r="R3" s="531"/>
      <c r="S3" s="531"/>
      <c r="T3" s="531"/>
      <c r="U3" s="534"/>
      <c r="V3" s="534"/>
      <c r="W3" s="534"/>
      <c r="X3" s="534"/>
      <c r="Y3" s="272"/>
      <c r="Z3" s="272"/>
    </row>
    <row r="4" spans="1:26" ht="15" customHeight="1">
      <c r="A4" s="299" t="s">
        <v>264</v>
      </c>
      <c r="B4" s="286">
        <f ca="1">TODAY()</f>
        <v>46232</v>
      </c>
      <c r="C4" s="276"/>
      <c r="D4" s="272"/>
      <c r="E4" s="272"/>
      <c r="F4" s="301" t="s">
        <v>428</v>
      </c>
      <c r="G4" s="298" t="b">
        <v>0</v>
      </c>
      <c r="H4" s="272"/>
      <c r="I4" s="517" t="s">
        <v>300</v>
      </c>
      <c r="J4" s="516" t="b">
        <v>0</v>
      </c>
      <c r="K4" s="272"/>
      <c r="L4" s="272"/>
      <c r="M4" s="272"/>
      <c r="N4" s="276"/>
      <c r="O4" s="276"/>
      <c r="P4" s="276"/>
      <c r="Q4" s="540"/>
      <c r="R4" s="531"/>
      <c r="S4" s="531"/>
      <c r="T4" s="531"/>
      <c r="U4" s="534"/>
      <c r="V4" s="534"/>
      <c r="W4" s="534"/>
      <c r="X4" s="534"/>
      <c r="Y4" s="272"/>
      <c r="Z4" s="272"/>
    </row>
    <row r="5" spans="1:26" ht="15" customHeight="1">
      <c r="A5" s="299" t="s">
        <v>272</v>
      </c>
      <c r="B5" s="541"/>
      <c r="C5" s="276"/>
      <c r="K5" s="272"/>
      <c r="L5" s="272"/>
      <c r="M5" s="272"/>
      <c r="N5" s="276"/>
      <c r="O5" s="276"/>
      <c r="P5" s="276"/>
      <c r="Q5" s="540"/>
      <c r="R5" s="531"/>
      <c r="S5" s="531"/>
      <c r="T5" s="531"/>
      <c r="U5" s="534"/>
      <c r="V5" s="534"/>
      <c r="W5" s="534"/>
      <c r="X5" s="534"/>
      <c r="Y5" s="272"/>
      <c r="Z5" s="272"/>
    </row>
    <row r="6" spans="1:26" ht="15" customHeight="1">
      <c r="A6" s="299" t="s">
        <v>265</v>
      </c>
      <c r="B6" s="520" t="s">
        <v>296</v>
      </c>
      <c r="C6" s="276"/>
      <c r="K6" s="272"/>
      <c r="L6" s="272"/>
      <c r="M6" s="272"/>
      <c r="N6" s="276"/>
      <c r="O6" s="276"/>
      <c r="P6" s="276"/>
      <c r="Q6" s="540"/>
      <c r="R6" s="531"/>
      <c r="S6" s="531"/>
      <c r="T6" s="531"/>
      <c r="U6" s="534"/>
      <c r="V6" s="534"/>
      <c r="W6" s="534"/>
      <c r="X6" s="534"/>
      <c r="Y6" s="272"/>
      <c r="Z6" s="272"/>
    </row>
    <row r="7" spans="1:26" ht="15" customHeight="1">
      <c r="A7" s="299" t="s">
        <v>280</v>
      </c>
      <c r="B7" s="285">
        <v>677</v>
      </c>
      <c r="C7" s="276"/>
      <c r="K7" s="272"/>
      <c r="L7" s="272"/>
      <c r="M7" s="272"/>
      <c r="N7" s="276"/>
      <c r="O7" s="276"/>
      <c r="P7" s="276"/>
      <c r="Q7" s="535"/>
      <c r="R7" s="536"/>
      <c r="S7" s="535"/>
      <c r="T7" s="534"/>
      <c r="U7" s="534"/>
      <c r="V7" s="534"/>
      <c r="W7" s="534"/>
      <c r="X7" s="534"/>
      <c r="Y7" s="272"/>
      <c r="Z7" s="272"/>
    </row>
    <row r="8" spans="1:26" ht="15" customHeight="1">
      <c r="A8" s="826"/>
      <c r="B8" s="826"/>
      <c r="C8" s="276"/>
      <c r="K8" s="272"/>
      <c r="L8" s="272"/>
      <c r="M8" s="272"/>
      <c r="N8" s="276"/>
      <c r="O8" s="276"/>
      <c r="P8" s="276"/>
      <c r="Q8" s="272"/>
      <c r="R8" s="272"/>
      <c r="S8" s="272"/>
      <c r="T8" s="272"/>
    </row>
    <row r="9" spans="1:26" ht="15" customHeight="1">
      <c r="A9" s="833" t="str">
        <f>IF(J4=FALSE,"TRANSFER DETAILS","PERMIT DETAILS")</f>
        <v>TRANSFER DETAILS</v>
      </c>
      <c r="B9" s="833"/>
      <c r="C9" s="276"/>
      <c r="K9" s="272"/>
      <c r="L9" s="272"/>
      <c r="M9" s="272"/>
      <c r="N9" s="276"/>
      <c r="O9" s="276"/>
      <c r="P9" s="276"/>
      <c r="Q9" s="272"/>
      <c r="R9" s="272"/>
      <c r="S9" s="272"/>
      <c r="T9" s="272"/>
    </row>
    <row r="10" spans="1:26" ht="15" customHeight="1">
      <c r="A10" s="526" t="str">
        <f>IF(J4=FALSE,"Date of Transfer","Final Date")</f>
        <v>Date of Transfer</v>
      </c>
      <c r="B10" s="527"/>
      <c r="C10" s="276"/>
      <c r="K10" s="272"/>
      <c r="L10" s="272"/>
      <c r="M10" s="272"/>
      <c r="N10" s="276"/>
      <c r="O10" s="276"/>
      <c r="P10" s="276"/>
      <c r="Q10" s="272"/>
      <c r="R10" s="272"/>
      <c r="S10" s="272"/>
      <c r="T10" s="272"/>
    </row>
    <row r="11" spans="1:26" s="528" customFormat="1" ht="15" customHeight="1">
      <c r="A11" s="518" t="str">
        <f>IF(J4=FALSE,"Transfer Document Number","Permit Number")</f>
        <v>Transfer Document Number</v>
      </c>
      <c r="B11" s="520"/>
    </row>
    <row r="12" spans="1:26" s="529" customFormat="1" ht="14.4">
      <c r="A12" s="519" t="str">
        <f>IF(J4=FALSE,"Ratio Code","Description")</f>
        <v>Ratio Code</v>
      </c>
      <c r="B12" s="521"/>
    </row>
    <row r="13" spans="1:26" ht="15" customHeight="1">
      <c r="A13" s="834"/>
      <c r="B13" s="834"/>
      <c r="C13" s="276"/>
      <c r="K13" s="272"/>
      <c r="L13" s="272"/>
      <c r="M13" s="272"/>
      <c r="N13" s="272"/>
      <c r="P13" s="251"/>
      <c r="Q13" s="251"/>
      <c r="T13" s="252"/>
    </row>
    <row r="14" spans="1:26" ht="15" customHeight="1">
      <c r="A14" s="833" t="s">
        <v>282</v>
      </c>
      <c r="B14" s="833"/>
      <c r="C14" s="276"/>
      <c r="K14" s="272"/>
      <c r="L14" s="272"/>
      <c r="M14" s="272"/>
      <c r="N14" s="272"/>
      <c r="P14" s="251"/>
      <c r="Q14" s="251"/>
      <c r="T14" s="22"/>
      <c r="U14" s="22"/>
    </row>
    <row r="15" spans="1:26" ht="14.4">
      <c r="A15" s="299" t="s">
        <v>269</v>
      </c>
      <c r="B15" s="285"/>
      <c r="C15" s="276"/>
      <c r="D15" s="276"/>
      <c r="E15" s="276"/>
      <c r="F15" s="276"/>
      <c r="G15" s="272"/>
      <c r="H15" s="272"/>
      <c r="I15" s="272"/>
      <c r="J15" s="272"/>
      <c r="K15" s="272"/>
      <c r="L15" s="272"/>
      <c r="M15" s="272"/>
      <c r="N15" s="272"/>
      <c r="Q15" s="251"/>
      <c r="T15" s="22"/>
      <c r="U15" s="22"/>
    </row>
    <row r="16" spans="1:26" ht="15" customHeight="1">
      <c r="A16" s="299" t="s">
        <v>270</v>
      </c>
      <c r="B16" s="287"/>
      <c r="C16" s="276"/>
      <c r="D16" s="276"/>
      <c r="E16" s="276"/>
      <c r="F16" s="276"/>
      <c r="G16" s="272"/>
      <c r="H16" s="272"/>
      <c r="I16" s="272"/>
      <c r="J16" s="272"/>
      <c r="K16" s="272"/>
      <c r="L16" s="272"/>
      <c r="M16" s="272"/>
      <c r="N16" s="272"/>
      <c r="Q16" s="251"/>
      <c r="T16" s="22"/>
      <c r="U16" s="22"/>
    </row>
    <row r="17" spans="1:25" ht="15" customHeight="1">
      <c r="A17" s="299" t="s">
        <v>276</v>
      </c>
      <c r="B17" s="285"/>
      <c r="C17" s="276"/>
      <c r="D17" s="276"/>
      <c r="E17" s="276"/>
      <c r="F17" s="276"/>
      <c r="G17" s="272"/>
      <c r="H17" s="272"/>
      <c r="I17" s="272"/>
      <c r="J17" s="272"/>
      <c r="K17" s="272"/>
      <c r="L17" s="272"/>
      <c r="M17" s="272"/>
      <c r="N17" s="272"/>
    </row>
    <row r="18" spans="1:25" ht="15" customHeight="1">
      <c r="A18" s="299" t="s">
        <v>274</v>
      </c>
      <c r="B18" s="285"/>
      <c r="C18" s="276"/>
      <c r="D18" s="276"/>
      <c r="E18" s="272"/>
      <c r="F18" s="276"/>
      <c r="G18" s="272"/>
      <c r="H18" s="272"/>
      <c r="I18" s="272"/>
      <c r="J18" s="272"/>
      <c r="K18" s="272"/>
      <c r="L18" s="272"/>
      <c r="M18" s="272"/>
      <c r="N18" s="272"/>
      <c r="P18" s="254"/>
      <c r="T18" s="253"/>
      <c r="U18" s="242"/>
    </row>
    <row r="19" spans="1:25" ht="15" customHeight="1">
      <c r="A19" s="299" t="s">
        <v>273</v>
      </c>
      <c r="B19" s="285"/>
      <c r="C19" s="276"/>
      <c r="D19" s="276"/>
      <c r="E19" s="272"/>
      <c r="F19" s="276"/>
      <c r="G19" s="272"/>
      <c r="H19" s="272"/>
      <c r="I19" s="272"/>
      <c r="J19" s="272"/>
      <c r="K19" s="272"/>
      <c r="L19" s="272"/>
      <c r="M19" s="272"/>
      <c r="N19" s="272"/>
      <c r="P19" s="254"/>
      <c r="T19" s="253"/>
      <c r="U19" s="242"/>
    </row>
    <row r="20" spans="1:25" ht="15" customHeight="1">
      <c r="A20" s="299" t="s">
        <v>275</v>
      </c>
      <c r="B20" s="285"/>
      <c r="C20" s="272"/>
      <c r="D20" s="272"/>
      <c r="E20" s="272"/>
      <c r="F20" s="272"/>
      <c r="G20" s="272"/>
      <c r="H20" s="272"/>
      <c r="I20" s="272"/>
      <c r="J20" s="272"/>
      <c r="K20" s="272"/>
      <c r="L20" s="272"/>
      <c r="M20" s="272"/>
      <c r="N20" s="272"/>
      <c r="P20" s="254"/>
      <c r="Q20" s="247"/>
      <c r="T20" s="253"/>
      <c r="U20" s="242"/>
    </row>
    <row r="21" spans="1:25" ht="15" customHeight="1">
      <c r="A21" s="826"/>
      <c r="B21" s="826"/>
      <c r="C21" s="272"/>
      <c r="D21" s="272"/>
      <c r="E21" s="272"/>
      <c r="F21" s="272"/>
      <c r="G21" s="272"/>
      <c r="H21" s="272"/>
      <c r="I21" s="272"/>
      <c r="J21" s="272"/>
      <c r="K21" s="272"/>
      <c r="L21" s="272"/>
      <c r="M21" s="272"/>
      <c r="N21" s="272"/>
      <c r="P21" s="254"/>
      <c r="Q21" s="247"/>
      <c r="T21" s="253"/>
    </row>
    <row r="22" spans="1:25" ht="15" customHeight="1">
      <c r="A22" s="832" t="s">
        <v>0</v>
      </c>
      <c r="B22" s="832"/>
      <c r="C22" s="272"/>
      <c r="D22" s="272"/>
      <c r="E22" s="273"/>
      <c r="F22" s="272"/>
      <c r="G22" s="272"/>
      <c r="H22" s="273"/>
      <c r="I22" s="272"/>
      <c r="J22" s="272"/>
      <c r="K22" s="273"/>
      <c r="L22" s="272"/>
      <c r="M22" s="272"/>
      <c r="N22" s="272"/>
      <c r="P22" s="254"/>
      <c r="Q22" s="247"/>
      <c r="T22" s="253"/>
      <c r="Y22" s="253"/>
    </row>
    <row r="23" spans="1:25" ht="15" customHeight="1">
      <c r="A23" s="299" t="str">
        <f>IF(J4=FALSE,"Sale Price","Full Market")</f>
        <v>Sale Price</v>
      </c>
      <c r="B23" s="530"/>
      <c r="C23" s="272"/>
      <c r="D23" s="272"/>
      <c r="E23" s="279"/>
      <c r="F23" s="272"/>
      <c r="G23" s="272"/>
      <c r="H23" s="279"/>
      <c r="I23" s="272"/>
      <c r="J23" s="272"/>
      <c r="K23" s="279"/>
      <c r="L23" s="272"/>
      <c r="M23" s="272"/>
      <c r="N23" s="272"/>
      <c r="P23" s="254"/>
      <c r="Q23" s="247"/>
      <c r="S23" s="836"/>
      <c r="T23" s="836"/>
      <c r="U23" s="837"/>
      <c r="Y23" s="253"/>
    </row>
    <row r="24" spans="1:25" ht="15" customHeight="1">
      <c r="A24" s="299" t="str">
        <f>IF(J4=FALSE,"Current Roll Value","Future T.I. &amp; Lease Up Loss")</f>
        <v>Current Roll Value</v>
      </c>
      <c r="B24" s="532"/>
      <c r="C24" s="275"/>
      <c r="D24" s="273"/>
      <c r="E24" s="271"/>
      <c r="F24" s="273"/>
      <c r="G24" s="273"/>
      <c r="H24" s="271"/>
      <c r="I24" s="273"/>
      <c r="J24" s="273"/>
      <c r="K24" s="271"/>
      <c r="L24" s="273"/>
      <c r="M24" s="273"/>
      <c r="N24" s="273"/>
      <c r="P24" s="254"/>
      <c r="Q24" s="23"/>
      <c r="S24" s="836"/>
      <c r="T24" s="836"/>
      <c r="U24" s="837"/>
      <c r="Y24" s="253"/>
    </row>
    <row r="25" spans="1:25" s="255" customFormat="1" ht="15" customHeight="1">
      <c r="A25" s="299" t="str">
        <f>IF(J2=TRUE,"Assessor's Opinion of Value","Total Posted")</f>
        <v>Total Posted</v>
      </c>
      <c r="B25" s="532"/>
      <c r="C25" s="284"/>
      <c r="D25" s="279"/>
      <c r="E25" s="271"/>
      <c r="F25" s="279"/>
      <c r="G25" s="279"/>
      <c r="H25" s="271"/>
      <c r="I25" s="279"/>
      <c r="J25" s="279"/>
      <c r="K25" s="271"/>
      <c r="L25" s="279"/>
      <c r="M25" s="279"/>
      <c r="N25" s="279"/>
      <c r="P25" s="254"/>
      <c r="Q25" s="22"/>
      <c r="S25" s="836"/>
      <c r="T25" s="836"/>
      <c r="U25" s="837"/>
      <c r="X25" s="838"/>
      <c r="Y25" s="839"/>
    </row>
    <row r="26" spans="1:25" ht="15" customHeight="1">
      <c r="A26" s="299" t="str">
        <f>IF(J2=TRUE,"Applicant's Opinion of Value","Cumulative Delta")</f>
        <v>Cumulative Delta</v>
      </c>
      <c r="B26" s="530"/>
      <c r="C26" s="275"/>
      <c r="D26" s="271"/>
      <c r="E26" s="257"/>
      <c r="F26" s="271"/>
      <c r="G26" s="271"/>
      <c r="H26" s="257"/>
      <c r="I26" s="271"/>
      <c r="J26" s="271"/>
      <c r="K26" s="257"/>
      <c r="L26" s="271"/>
      <c r="M26" s="271"/>
      <c r="N26" s="271"/>
      <c r="P26" s="254"/>
      <c r="Q26" s="23"/>
      <c r="S26" s="836"/>
      <c r="T26" s="836"/>
      <c r="U26" s="837"/>
      <c r="X26" s="839"/>
      <c r="Y26" s="839"/>
    </row>
    <row r="27" spans="1:25" ht="15" customHeight="1">
      <c r="A27" s="826"/>
      <c r="B27" s="826"/>
      <c r="C27" s="275"/>
      <c r="D27" s="271"/>
      <c r="E27" s="274"/>
      <c r="F27" s="271"/>
      <c r="G27" s="271"/>
      <c r="H27" s="274"/>
      <c r="I27" s="271"/>
      <c r="J27" s="271"/>
      <c r="K27" s="257"/>
      <c r="L27" s="271"/>
      <c r="M27" s="271"/>
      <c r="N27" s="271"/>
      <c r="P27" s="254"/>
      <c r="Q27" s="23"/>
      <c r="S27" s="836"/>
      <c r="T27" s="836"/>
      <c r="U27" s="837"/>
      <c r="Y27" s="253"/>
    </row>
    <row r="28" spans="1:25" ht="15" customHeight="1">
      <c r="A28" s="833" t="s">
        <v>109</v>
      </c>
      <c r="B28" s="833"/>
      <c r="C28" s="257"/>
      <c r="D28" s="257"/>
      <c r="E28" s="274"/>
      <c r="F28" s="257"/>
      <c r="G28" s="257"/>
      <c r="H28" s="274"/>
      <c r="I28" s="257"/>
      <c r="J28" s="257"/>
      <c r="K28" s="257"/>
      <c r="L28" s="257"/>
      <c r="M28" s="257"/>
      <c r="N28" s="257"/>
      <c r="P28" s="254"/>
      <c r="Q28" s="23"/>
      <c r="S28" s="836"/>
      <c r="T28" s="836"/>
      <c r="U28" s="837"/>
      <c r="Y28" s="253"/>
    </row>
    <row r="29" spans="1:25" ht="15" customHeight="1">
      <c r="A29" s="300" t="s">
        <v>279</v>
      </c>
      <c r="B29" s="288"/>
      <c r="C29" s="257"/>
      <c r="K29" s="276"/>
      <c r="L29" s="257"/>
      <c r="M29" s="257"/>
      <c r="N29" s="257"/>
      <c r="P29" s="254"/>
      <c r="Q29" s="23"/>
      <c r="T29" s="253"/>
      <c r="Y29" s="253"/>
    </row>
    <row r="30" spans="1:25" ht="14.4">
      <c r="A30" s="300" t="s">
        <v>92</v>
      </c>
      <c r="B30" s="288"/>
      <c r="C30" s="257"/>
      <c r="K30" s="276"/>
      <c r="L30" s="257"/>
      <c r="M30" s="257"/>
      <c r="N30" s="257"/>
      <c r="P30" s="254"/>
      <c r="Q30" s="23"/>
      <c r="T30" s="253"/>
      <c r="Y30" s="253"/>
    </row>
    <row r="31" spans="1:25" ht="15" customHeight="1">
      <c r="A31" s="300" t="s">
        <v>13</v>
      </c>
      <c r="B31" s="289"/>
      <c r="C31" s="276"/>
      <c r="K31" s="276"/>
      <c r="L31" s="276"/>
      <c r="M31" s="276"/>
      <c r="N31" s="276"/>
      <c r="P31" s="254"/>
      <c r="Q31" s="23"/>
      <c r="T31" s="253"/>
      <c r="Y31" s="253"/>
    </row>
    <row r="32" spans="1:25" ht="15" customHeight="1">
      <c r="A32" s="300" t="s">
        <v>93</v>
      </c>
      <c r="B32" s="288"/>
      <c r="C32" s="276"/>
      <c r="K32" s="276"/>
      <c r="L32" s="276"/>
      <c r="M32" s="276"/>
      <c r="N32" s="276"/>
      <c r="P32" s="254"/>
      <c r="Q32" s="23"/>
      <c r="T32" s="253"/>
      <c r="Y32" s="253"/>
    </row>
    <row r="33" spans="1:25" ht="15" customHeight="1">
      <c r="A33" s="300" t="s">
        <v>94</v>
      </c>
      <c r="B33" s="290"/>
      <c r="C33" s="276"/>
      <c r="D33" s="679"/>
      <c r="K33" s="276"/>
      <c r="L33" s="276"/>
      <c r="M33" s="276"/>
      <c r="N33" s="276"/>
      <c r="P33" s="253"/>
      <c r="Q33" s="23"/>
      <c r="T33" s="253"/>
      <c r="Y33" s="253"/>
    </row>
    <row r="34" spans="1:25" ht="15" customHeight="1">
      <c r="A34" s="300" t="s">
        <v>95</v>
      </c>
      <c r="B34" s="290"/>
      <c r="D34" s="680"/>
      <c r="K34" s="280"/>
      <c r="L34" s="276"/>
      <c r="M34" s="276"/>
      <c r="N34" s="276"/>
      <c r="P34" s="253"/>
      <c r="Q34" s="23"/>
      <c r="T34" s="253"/>
    </row>
    <row r="35" spans="1:25" ht="15" customHeight="1">
      <c r="A35" s="300" t="s">
        <v>96</v>
      </c>
      <c r="B35" s="291"/>
      <c r="K35" s="280"/>
      <c r="L35" s="276"/>
      <c r="M35" s="276"/>
      <c r="N35" s="276"/>
      <c r="P35" s="253"/>
      <c r="Q35" s="23"/>
    </row>
    <row r="36" spans="1:25" ht="15" customHeight="1">
      <c r="A36" s="300" t="s">
        <v>97</v>
      </c>
      <c r="B36" s="659">
        <f>IFERROR('Program Data'!K3-B35,0)</f>
        <v>2026</v>
      </c>
      <c r="C36" s="275"/>
      <c r="L36" s="280"/>
      <c r="M36" s="280"/>
      <c r="N36" s="280"/>
      <c r="P36" s="253"/>
      <c r="Q36" s="23"/>
    </row>
    <row r="37" spans="1:25" ht="15" customHeight="1">
      <c r="A37" s="300" t="s">
        <v>98</v>
      </c>
      <c r="B37" s="292"/>
      <c r="C37" s="267"/>
      <c r="D37" s="681" t="str">
        <f>IF(INPUT_Clean!G3,"$/ACRE","$/SQ FT")</f>
        <v>$/SQ FT</v>
      </c>
      <c r="L37" s="280"/>
      <c r="M37" s="280"/>
      <c r="N37" s="280"/>
      <c r="P37" s="253"/>
      <c r="Q37" s="23"/>
    </row>
    <row r="38" spans="1:25" ht="15" customHeight="1">
      <c r="A38" s="300" t="s">
        <v>23</v>
      </c>
      <c r="B38" s="289"/>
      <c r="D38" s="682" t="str">
        <f>IFERROR((IF((INPUT_Clean!G3),(B23/B37),(B23/B34))),"")</f>
        <v/>
      </c>
      <c r="E38" s="276"/>
      <c r="F38" s="276"/>
      <c r="G38" s="272"/>
      <c r="H38" s="272"/>
      <c r="I38" s="272"/>
      <c r="J38" s="272"/>
      <c r="P38" s="253"/>
      <c r="Q38" s="23"/>
    </row>
    <row r="39" spans="1:25" ht="15" customHeight="1">
      <c r="A39" s="300" t="s">
        <v>67</v>
      </c>
      <c r="B39" s="678"/>
      <c r="E39" s="276"/>
      <c r="H39" s="276"/>
      <c r="K39" s="276"/>
      <c r="P39" s="254"/>
      <c r="Q39" s="23"/>
    </row>
    <row r="40" spans="1:25" ht="15" customHeight="1">
      <c r="A40" s="300" t="s">
        <v>15</v>
      </c>
      <c r="B40" s="289"/>
      <c r="E40" s="276"/>
      <c r="H40" s="276"/>
      <c r="K40" s="276"/>
      <c r="P40" s="254"/>
      <c r="Q40" s="23"/>
    </row>
    <row r="41" spans="1:25" ht="15" customHeight="1">
      <c r="A41" s="300" t="s">
        <v>99</v>
      </c>
      <c r="B41" s="289"/>
      <c r="C41" s="276"/>
      <c r="D41" s="276"/>
      <c r="E41" s="276"/>
      <c r="F41" s="276"/>
      <c r="G41" s="276"/>
      <c r="H41" s="276"/>
      <c r="I41" s="276"/>
      <c r="J41" s="276"/>
      <c r="K41" s="276"/>
      <c r="L41" s="275"/>
      <c r="M41" s="275"/>
      <c r="N41" s="275"/>
      <c r="P41" s="254"/>
      <c r="Q41" s="247"/>
    </row>
    <row r="42" spans="1:25" ht="14.4">
      <c r="A42" s="300" t="s">
        <v>100</v>
      </c>
      <c r="B42" s="288"/>
      <c r="C42" s="276"/>
      <c r="D42" s="276"/>
      <c r="E42" s="276"/>
      <c r="F42" s="276"/>
      <c r="G42" s="276"/>
      <c r="H42" s="276"/>
      <c r="I42" s="276"/>
      <c r="J42" s="276"/>
      <c r="K42" s="276"/>
      <c r="L42" s="276"/>
      <c r="M42" s="276"/>
      <c r="N42" s="276"/>
      <c r="P42" s="254"/>
      <c r="Q42" s="23"/>
    </row>
    <row r="43" spans="1:25" ht="15" customHeight="1">
      <c r="A43" s="300" t="s">
        <v>101</v>
      </c>
      <c r="B43" s="288"/>
      <c r="C43" s="276"/>
      <c r="D43" s="276"/>
      <c r="E43" s="277"/>
      <c r="F43" s="276"/>
      <c r="G43" s="276"/>
      <c r="H43" s="277"/>
      <c r="I43" s="276"/>
      <c r="J43" s="276"/>
      <c r="L43" s="276"/>
      <c r="M43" s="276"/>
      <c r="N43" s="276"/>
      <c r="P43" s="254"/>
      <c r="Q43" s="23"/>
    </row>
    <row r="44" spans="1:25" ht="15" customHeight="1">
      <c r="A44" s="300" t="s">
        <v>102</v>
      </c>
      <c r="B44" s="289"/>
      <c r="C44" s="276"/>
      <c r="D44" s="276"/>
      <c r="E44" s="277"/>
      <c r="F44" s="276"/>
      <c r="G44" s="276"/>
      <c r="H44" s="277"/>
      <c r="I44" s="276"/>
      <c r="J44" s="276"/>
      <c r="L44" s="276"/>
      <c r="M44" s="276"/>
      <c r="N44" s="276"/>
      <c r="P44" s="254"/>
      <c r="Q44" s="23"/>
    </row>
    <row r="45" spans="1:25" ht="15" customHeight="1">
      <c r="A45" s="300" t="s">
        <v>207</v>
      </c>
      <c r="B45" s="293"/>
      <c r="C45" s="242"/>
      <c r="D45" s="277"/>
      <c r="E45" s="231"/>
      <c r="F45" s="277"/>
      <c r="G45" s="277"/>
      <c r="H45" s="278"/>
      <c r="I45" s="277"/>
      <c r="K45" s="278"/>
      <c r="P45" s="254"/>
      <c r="Q45" s="23"/>
    </row>
    <row r="46" spans="1:25" ht="15" customHeight="1">
      <c r="A46" s="300" t="s">
        <v>103</v>
      </c>
      <c r="B46" s="294"/>
      <c r="C46" s="283"/>
      <c r="D46" s="277"/>
      <c r="F46" s="277"/>
      <c r="G46" s="277"/>
      <c r="I46" s="277"/>
      <c r="P46" s="247"/>
      <c r="Q46" s="22"/>
    </row>
    <row r="47" spans="1:25" ht="15" customHeight="1">
      <c r="A47" s="300" t="s">
        <v>104</v>
      </c>
      <c r="B47" s="294"/>
      <c r="C47" s="283"/>
      <c r="D47" s="231"/>
      <c r="F47" s="258"/>
      <c r="G47" s="278"/>
      <c r="I47" s="278"/>
      <c r="J47" s="278"/>
      <c r="L47" s="278"/>
      <c r="M47" s="278"/>
      <c r="N47" s="258"/>
      <c r="P47" s="247"/>
      <c r="Q47" s="23"/>
    </row>
    <row r="48" spans="1:25" ht="15" customHeight="1">
      <c r="A48" s="300" t="s">
        <v>105</v>
      </c>
      <c r="B48" s="295"/>
      <c r="P48" s="247"/>
      <c r="Q48" s="827"/>
      <c r="R48" s="828"/>
      <c r="S48" s="242"/>
    </row>
    <row r="49" spans="1:24" ht="15" customHeight="1">
      <c r="A49" s="300" t="s">
        <v>106</v>
      </c>
      <c r="B49" s="295"/>
      <c r="E49" s="258"/>
      <c r="H49" s="257"/>
      <c r="K49" s="257"/>
      <c r="P49" s="247"/>
      <c r="Q49" s="829"/>
      <c r="R49" s="830"/>
      <c r="S49" s="23"/>
    </row>
    <row r="50" spans="1:24" ht="15" customHeight="1">
      <c r="A50" s="300" t="s">
        <v>107</v>
      </c>
      <c r="B50" s="296">
        <f>B48+B49</f>
        <v>0</v>
      </c>
      <c r="E50" s="258"/>
      <c r="H50" s="258"/>
      <c r="K50" s="258"/>
      <c r="P50" s="247"/>
      <c r="Q50" s="829"/>
      <c r="R50" s="830"/>
      <c r="S50" s="23"/>
    </row>
    <row r="51" spans="1:24" ht="15" customHeight="1">
      <c r="A51" s="300" t="s">
        <v>108</v>
      </c>
      <c r="B51" s="291"/>
      <c r="C51" s="231"/>
      <c r="D51" s="258"/>
      <c r="E51" s="259"/>
      <c r="F51" s="258"/>
      <c r="G51" s="257"/>
      <c r="H51" s="257"/>
      <c r="I51" s="257"/>
      <c r="J51" s="257"/>
      <c r="K51" s="257"/>
      <c r="L51" s="257"/>
      <c r="M51" s="257"/>
      <c r="N51" s="257"/>
      <c r="P51" s="247"/>
      <c r="Q51" s="829"/>
      <c r="R51" s="830"/>
      <c r="S51" s="23"/>
    </row>
    <row r="52" spans="1:24" ht="15" customHeight="1">
      <c r="C52" s="231"/>
      <c r="D52" s="258"/>
      <c r="E52" s="275"/>
      <c r="F52" s="258"/>
      <c r="G52" s="258"/>
      <c r="H52" s="275"/>
      <c r="I52" s="258"/>
      <c r="J52" s="258"/>
      <c r="K52" s="275"/>
      <c r="L52" s="258"/>
      <c r="M52" s="258"/>
      <c r="N52" s="257"/>
      <c r="P52" s="247"/>
      <c r="Q52" s="829"/>
      <c r="R52" s="830"/>
      <c r="S52" s="23"/>
    </row>
    <row r="53" spans="1:24" ht="15" customHeight="1">
      <c r="A53" s="260"/>
      <c r="C53" s="264"/>
      <c r="D53" s="259"/>
      <c r="F53" s="257"/>
      <c r="G53" s="257"/>
      <c r="I53" s="257"/>
      <c r="J53" s="257"/>
      <c r="L53" s="257"/>
      <c r="M53" s="257"/>
      <c r="N53" s="257"/>
      <c r="P53" s="247"/>
      <c r="Q53" s="829"/>
      <c r="R53" s="830"/>
      <c r="S53" s="23"/>
      <c r="U53" s="831"/>
      <c r="V53" s="831"/>
      <c r="W53" s="831"/>
      <c r="X53" s="831"/>
    </row>
    <row r="54" spans="1:24" ht="15" customHeight="1">
      <c r="A54" s="261"/>
      <c r="C54" s="275"/>
      <c r="D54" s="275"/>
      <c r="E54" s="257"/>
      <c r="F54" s="275"/>
      <c r="G54" s="275"/>
      <c r="H54" s="257"/>
      <c r="I54" s="275"/>
      <c r="J54" s="275"/>
      <c r="K54" s="257"/>
      <c r="L54" s="275"/>
      <c r="M54" s="275"/>
      <c r="N54" s="275"/>
      <c r="P54" s="247"/>
      <c r="Q54" s="829"/>
      <c r="R54" s="830"/>
      <c r="S54" s="23"/>
      <c r="U54" s="831"/>
      <c r="V54" s="831"/>
      <c r="W54" s="831"/>
      <c r="X54" s="831"/>
    </row>
    <row r="55" spans="1:24" ht="15" customHeight="1">
      <c r="A55" s="261"/>
      <c r="B55" s="262"/>
      <c r="C55" s="267"/>
      <c r="E55" s="257"/>
      <c r="H55" s="257"/>
      <c r="K55" s="257"/>
      <c r="P55" s="247"/>
      <c r="Q55" s="829"/>
      <c r="R55" s="830"/>
      <c r="S55" s="23"/>
      <c r="U55" s="831"/>
      <c r="V55" s="831"/>
      <c r="W55" s="831"/>
      <c r="X55" s="831"/>
    </row>
    <row r="56" spans="1:24" ht="15" customHeight="1">
      <c r="C56" s="257"/>
      <c r="D56" s="257"/>
      <c r="E56" s="257"/>
      <c r="F56" s="257"/>
      <c r="G56" s="257"/>
      <c r="H56" s="257"/>
      <c r="I56" s="257"/>
      <c r="J56" s="257"/>
      <c r="K56" s="257"/>
      <c r="L56" s="257"/>
      <c r="M56" s="257"/>
      <c r="N56" s="257"/>
      <c r="P56" s="247"/>
      <c r="Q56" s="829"/>
      <c r="R56" s="830"/>
      <c r="S56" s="23"/>
      <c r="U56" s="831"/>
      <c r="V56" s="831"/>
      <c r="W56" s="831"/>
      <c r="X56" s="831"/>
    </row>
    <row r="57" spans="1:24" ht="15" customHeight="1">
      <c r="A57" s="260"/>
      <c r="C57" s="257"/>
      <c r="D57" s="257"/>
      <c r="E57" s="257"/>
      <c r="F57" s="257"/>
      <c r="G57" s="257"/>
      <c r="H57" s="257"/>
      <c r="I57" s="257"/>
      <c r="J57" s="257"/>
      <c r="K57" s="257"/>
      <c r="L57" s="257"/>
      <c r="M57" s="257"/>
      <c r="N57" s="257"/>
      <c r="P57" s="247"/>
      <c r="Q57" s="829"/>
      <c r="R57" s="830"/>
      <c r="S57" s="23"/>
      <c r="U57" s="831"/>
      <c r="V57" s="831"/>
      <c r="W57" s="831"/>
      <c r="X57" s="831"/>
    </row>
    <row r="58" spans="1:24" ht="15" customHeight="1">
      <c r="A58" s="261"/>
      <c r="B58" s="263"/>
      <c r="C58" s="257"/>
      <c r="D58" s="257"/>
      <c r="E58" s="257"/>
      <c r="F58" s="257"/>
      <c r="G58" s="257"/>
      <c r="H58" s="257"/>
      <c r="I58" s="257"/>
      <c r="J58" s="257"/>
      <c r="K58" s="257"/>
      <c r="L58" s="257"/>
      <c r="M58" s="257"/>
      <c r="N58" s="257"/>
      <c r="P58" s="247"/>
      <c r="Q58" s="829"/>
      <c r="R58" s="830"/>
      <c r="S58" s="23"/>
      <c r="U58" s="831"/>
      <c r="V58" s="831"/>
      <c r="W58" s="831"/>
      <c r="X58" s="831"/>
    </row>
    <row r="59" spans="1:24" ht="15" customHeight="1">
      <c r="A59" s="261"/>
      <c r="B59" s="265"/>
      <c r="C59" s="257"/>
      <c r="D59" s="257"/>
      <c r="E59" s="257"/>
      <c r="F59" s="257"/>
      <c r="G59" s="257"/>
      <c r="H59" s="257"/>
      <c r="I59" s="257"/>
      <c r="J59" s="257"/>
      <c r="K59" s="257"/>
      <c r="L59" s="257"/>
      <c r="M59" s="257"/>
      <c r="N59" s="257"/>
      <c r="P59" s="247"/>
      <c r="Q59" s="829"/>
      <c r="R59" s="830"/>
      <c r="S59" s="23"/>
      <c r="U59" s="831"/>
      <c r="V59" s="831"/>
      <c r="W59" s="831"/>
      <c r="X59" s="831"/>
    </row>
    <row r="60" spans="1:24" ht="15" customHeight="1">
      <c r="A60" s="261"/>
      <c r="B60" s="266"/>
      <c r="C60" s="257"/>
      <c r="D60" s="257"/>
      <c r="F60" s="257"/>
      <c r="G60" s="257"/>
      <c r="I60" s="257"/>
      <c r="J60" s="257"/>
      <c r="L60" s="257"/>
      <c r="M60" s="257"/>
      <c r="N60" s="257"/>
      <c r="P60" s="247"/>
      <c r="Q60" s="829"/>
      <c r="R60" s="830"/>
      <c r="S60" s="23"/>
      <c r="U60" s="831"/>
      <c r="V60" s="831"/>
      <c r="W60" s="831"/>
      <c r="X60" s="831"/>
    </row>
    <row r="61" spans="1:24" ht="15" customHeight="1">
      <c r="A61" s="261"/>
      <c r="C61" s="257"/>
      <c r="D61" s="257"/>
      <c r="F61" s="257"/>
      <c r="G61" s="257"/>
      <c r="I61" s="257"/>
      <c r="J61" s="257"/>
      <c r="L61" s="257"/>
      <c r="M61" s="257"/>
      <c r="N61" s="257"/>
      <c r="P61" s="247"/>
      <c r="Q61" s="829"/>
      <c r="R61" s="830"/>
      <c r="S61" s="23"/>
      <c r="U61" s="831"/>
      <c r="V61" s="831"/>
      <c r="W61" s="831"/>
      <c r="X61" s="831"/>
    </row>
    <row r="62" spans="1:24" ht="15" customHeight="1">
      <c r="P62" s="247"/>
      <c r="Q62" s="829"/>
      <c r="R62" s="830"/>
      <c r="S62" s="23"/>
      <c r="U62" s="831"/>
      <c r="V62" s="831"/>
      <c r="W62" s="831"/>
      <c r="X62" s="831"/>
    </row>
    <row r="63" spans="1:24" ht="15" customHeight="1">
      <c r="P63" s="247"/>
      <c r="Q63" s="829"/>
      <c r="R63" s="830"/>
      <c r="S63" s="23"/>
    </row>
    <row r="64" spans="1:24" ht="15" customHeight="1">
      <c r="P64" s="247"/>
      <c r="Q64" s="829"/>
      <c r="R64" s="830"/>
      <c r="S64" s="23"/>
    </row>
    <row r="65" spans="16:19" ht="15" customHeight="1">
      <c r="P65" s="247"/>
      <c r="Q65" s="829"/>
      <c r="R65" s="830"/>
      <c r="S65" s="23"/>
    </row>
    <row r="66" spans="16:19" ht="15" customHeight="1">
      <c r="P66" s="247"/>
      <c r="Q66" s="829"/>
      <c r="R66" s="830"/>
      <c r="S66" s="23"/>
    </row>
    <row r="67" spans="16:19" ht="15" customHeight="1">
      <c r="Q67" s="829"/>
      <c r="R67" s="830"/>
      <c r="S67" s="23"/>
    </row>
    <row r="68" spans="16:19" ht="15" customHeight="1">
      <c r="Q68" s="829"/>
      <c r="R68" s="830"/>
      <c r="S68" s="23"/>
    </row>
  </sheetData>
  <sheetProtection formatColumns="0" formatRows="0"/>
  <dataConsolidate link="1"/>
  <mergeCells count="34">
    <mergeCell ref="Q67:R67"/>
    <mergeCell ref="Q68:R68"/>
    <mergeCell ref="U53:X62"/>
    <mergeCell ref="Q54:R54"/>
    <mergeCell ref="Q55:R55"/>
    <mergeCell ref="Q56:R56"/>
    <mergeCell ref="Q57:R57"/>
    <mergeCell ref="Q58:R58"/>
    <mergeCell ref="Q59:R59"/>
    <mergeCell ref="Q60:R60"/>
    <mergeCell ref="Q61:R61"/>
    <mergeCell ref="Q62:R62"/>
    <mergeCell ref="Q53:R53"/>
    <mergeCell ref="Q63:R63"/>
    <mergeCell ref="Q64:R64"/>
    <mergeCell ref="Q65:R65"/>
    <mergeCell ref="Q66:R66"/>
    <mergeCell ref="Q48:R48"/>
    <mergeCell ref="Q49:R49"/>
    <mergeCell ref="Q50:R50"/>
    <mergeCell ref="Q51:R51"/>
    <mergeCell ref="Q52:R52"/>
    <mergeCell ref="A21:B21"/>
    <mergeCell ref="A22:B22"/>
    <mergeCell ref="S23:U28"/>
    <mergeCell ref="X25:Y26"/>
    <mergeCell ref="A27:B27"/>
    <mergeCell ref="A28:B28"/>
    <mergeCell ref="A14:B14"/>
    <mergeCell ref="A2:B2"/>
    <mergeCell ref="A3:B3"/>
    <mergeCell ref="A8:B8"/>
    <mergeCell ref="A9:B9"/>
    <mergeCell ref="A13:B13"/>
  </mergeCells>
  <dataValidations count="2">
    <dataValidation type="whole" allowBlank="1" showInputMessage="1" showErrorMessage="1" sqref="B60" xr:uid="{4F81A273-195F-4287-8FC6-ED8EF5BAE733}">
      <formula1>1</formula1>
      <formula2>999999999</formula2>
    </dataValidation>
    <dataValidation type="list" allowBlank="1" showInputMessage="1" showErrorMessage="1" sqref="Q24:Q34 S49:S68" xr:uid="{825B2B83-9E86-41C5-942A-DFD1A57BDDC5}">
      <formula1>"1,2,3,4,5,6,7,8,9,10,11,12,13,14,15,16,17,18,19,20,21,22,23,24,25,26,27,28,29,30"</formula1>
    </dataValidation>
  </dataValidations>
  <pageMargins left="0.25" right="0.25"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25281" r:id="rId4" name="Button 1">
              <controlPr defaultSize="0" print="0" autoFill="0" autoPict="0" macro="[0]!ClearCompsArrangeComps">
                <anchor moveWithCells="1" sizeWithCells="1">
                  <from>
                    <xdr:col>5</xdr:col>
                    <xdr:colOff>594360</xdr:colOff>
                    <xdr:row>5</xdr:row>
                    <xdr:rowOff>7620</xdr:rowOff>
                  </from>
                  <to>
                    <xdr:col>8</xdr:col>
                    <xdr:colOff>716280</xdr:colOff>
                    <xdr:row>7</xdr:row>
                    <xdr:rowOff>144780</xdr:rowOff>
                  </to>
                </anchor>
              </controlPr>
            </control>
          </mc:Choice>
        </mc:AlternateContent>
        <mc:AlternateContent xmlns:mc="http://schemas.openxmlformats.org/markup-compatibility/2006">
          <mc:Choice Requires="x14">
            <control shapeId="225282" r:id="rId5" name="Button 2">
              <controlPr defaultSize="0" print="0" autoFill="0" autoPict="0" macro="[0]!Run_Import_Then_Copycomps">
                <anchor moveWithCells="1" sizeWithCells="1">
                  <from>
                    <xdr:col>2</xdr:col>
                    <xdr:colOff>22860</xdr:colOff>
                    <xdr:row>5</xdr:row>
                    <xdr:rowOff>7620</xdr:rowOff>
                  </from>
                  <to>
                    <xdr:col>5</xdr:col>
                    <xdr:colOff>571500</xdr:colOff>
                    <xdr:row>7</xdr:row>
                    <xdr:rowOff>144780</xdr:rowOff>
                  </to>
                </anchor>
              </controlPr>
            </control>
          </mc:Choice>
        </mc:AlternateContent>
        <mc:AlternateContent xmlns:mc="http://schemas.openxmlformats.org/markup-compatibility/2006">
          <mc:Choice Requires="x14">
            <control shapeId="225283" r:id="rId6" name="Button 3">
              <controlPr defaultSize="0" print="0" autoFill="0" autoPict="0" macro="[0]!Clear_Pictures_On_Appraisal_Sheets">
                <anchor moveWithCells="1" sizeWithCells="1">
                  <from>
                    <xdr:col>9</xdr:col>
                    <xdr:colOff>0</xdr:colOff>
                    <xdr:row>5</xdr:row>
                    <xdr:rowOff>7620</xdr:rowOff>
                  </from>
                  <to>
                    <xdr:col>12</xdr:col>
                    <xdr:colOff>175260</xdr:colOff>
                    <xdr:row>7</xdr:row>
                    <xdr:rowOff>144780</xdr:rowOff>
                  </to>
                </anchor>
              </controlPr>
            </control>
          </mc:Choice>
        </mc:AlternateContent>
        <mc:AlternateContent xmlns:mc="http://schemas.openxmlformats.org/markup-compatibility/2006">
          <mc:Choice Requires="x14">
            <control shapeId="225284" r:id="rId7" name="Button 4">
              <controlPr defaultSize="0" print="0" autoFill="0" autoPict="0" macro="[0]!CLRINPUT">
                <anchor moveWithCells="1" sizeWithCells="1">
                  <from>
                    <xdr:col>5</xdr:col>
                    <xdr:colOff>419100</xdr:colOff>
                    <xdr:row>26</xdr:row>
                    <xdr:rowOff>7620</xdr:rowOff>
                  </from>
                  <to>
                    <xdr:col>8</xdr:col>
                    <xdr:colOff>373380</xdr:colOff>
                    <xdr:row>27</xdr:row>
                    <xdr:rowOff>182880</xdr:rowOff>
                  </to>
                </anchor>
              </controlPr>
            </control>
          </mc:Choice>
        </mc:AlternateContent>
        <mc:AlternateContent xmlns:mc="http://schemas.openxmlformats.org/markup-compatibility/2006">
          <mc:Choice Requires="x14">
            <control shapeId="225285" r:id="rId8" name="Button 5">
              <controlPr defaultSize="0" print="0" autoFill="0" autoPict="0" macro="[0]!Populate_SubjectInfo_From_RivCoView">
                <anchor moveWithCells="1" sizeWithCells="1">
                  <from>
                    <xdr:col>2</xdr:col>
                    <xdr:colOff>22860</xdr:colOff>
                    <xdr:row>26</xdr:row>
                    <xdr:rowOff>7620</xdr:rowOff>
                  </from>
                  <to>
                    <xdr:col>5</xdr:col>
                    <xdr:colOff>403860</xdr:colOff>
                    <xdr:row>27</xdr:row>
                    <xdr:rowOff>182880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287C1B2-F03A-4037-B3EC-BC99C39E3E13}">
          <x14:formula1>
            <xm:f>'Program Data'!$J$1:$J$25</xm:f>
          </x14:formula1>
          <xm:sqref>D3</xm:sqref>
        </x14:dataValidation>
        <x14:dataValidation type="list" allowBlank="1" showInputMessage="1" showErrorMessage="1" xr:uid="{C1D9DD98-AF9F-4C74-9713-FFEEB4E031D2}">
          <x14:formula1>
            <xm:f>'Program Data'!$H$2</xm:f>
          </x14:formula1>
          <xm:sqref>U21:U22 Q35:Q45</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004C0144-279A-4907-95DD-09DFCB19E3DB}">
  <ds:schemaRefs>
    <ds:schemaRef ds:uri="http://www.w3.org/2001/XMLSchema"/>
    <ds:schemaRef ds:uri="http://microsoft.data.visualization.Client.Excel/1.0"/>
  </ds:schemaRefs>
</ds:datastoreItem>
</file>

<file path=customXml/itemProps2.xml><?xml version="1.0" encoding="utf-8"?>
<ds:datastoreItem xmlns:ds="http://schemas.openxmlformats.org/officeDocument/2006/customXml" ds:itemID="{88D724A2-F8D8-4DB6-B9DC-CB9063D305DF}">
  <ds:schemaRefs>
    <ds:schemaRef ds:uri="http://schemas.microsoft.com/DataMashup"/>
  </ds:schemaRefs>
</ds:datastoreItem>
</file>

<file path=customXml/itemProps3.xml><?xml version="1.0" encoding="utf-8"?>
<ds:datastoreItem xmlns:ds="http://schemas.openxmlformats.org/officeDocument/2006/customXml" ds:itemID="{EBACDB0B-EA46-4703-B76D-174AE56AD3FE}">
  <ds:schemaRefs>
    <ds:schemaRef ds:uri="http://www.w3.org/2001/XMLSchema"/>
    <ds:schemaRef ds:uri="http://microsoft.data.visualization.engine.tours/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53</vt:i4>
      </vt:variant>
    </vt:vector>
  </HeadingPairs>
  <TitlesOfParts>
    <vt:vector size="89" baseType="lpstr">
      <vt:lpstr>INPUT</vt:lpstr>
      <vt:lpstr>Proposed Stip Cover</vt:lpstr>
      <vt:lpstr>Arranged Comps</vt:lpstr>
      <vt:lpstr>AU DATA</vt:lpstr>
      <vt:lpstr>Overview</vt:lpstr>
      <vt:lpstr>Cover Transfer</vt:lpstr>
      <vt:lpstr>Cover</vt:lpstr>
      <vt:lpstr>Narrative</vt:lpstr>
      <vt:lpstr>Land Narrative</vt:lpstr>
      <vt:lpstr>Subj Pics</vt:lpstr>
      <vt:lpstr>Sales Grid</vt:lpstr>
      <vt:lpstr>Land Grid</vt:lpstr>
      <vt:lpstr>Apt Grid</vt:lpstr>
      <vt:lpstr>Comp Pics</vt:lpstr>
      <vt:lpstr>Comp Map</vt:lpstr>
      <vt:lpstr>Direct Cap Actual</vt:lpstr>
      <vt:lpstr>Direct Cap Abrv.</vt:lpstr>
      <vt:lpstr>Lease Up</vt:lpstr>
      <vt:lpstr>Subject Rent</vt:lpstr>
      <vt:lpstr>Extra Page (8)</vt:lpstr>
      <vt:lpstr>CEA</vt:lpstr>
      <vt:lpstr>Cap Rate Comps</vt:lpstr>
      <vt:lpstr>Extra Page</vt:lpstr>
      <vt:lpstr>Lease Comps</vt:lpstr>
      <vt:lpstr>Extra Page (3)</vt:lpstr>
      <vt:lpstr>Extra Page (2)</vt:lpstr>
      <vt:lpstr>Extra Page (4)</vt:lpstr>
      <vt:lpstr>Extra Page (5)</vt:lpstr>
      <vt:lpstr>Extra Page (6)</vt:lpstr>
      <vt:lpstr>Extra Page (7)</vt:lpstr>
      <vt:lpstr>Lease Comps (2)</vt:lpstr>
      <vt:lpstr>Extra Page (9)</vt:lpstr>
      <vt:lpstr>Extra Page (10)</vt:lpstr>
      <vt:lpstr>Extra Page (11)</vt:lpstr>
      <vt:lpstr>Extra Page (12)</vt:lpstr>
      <vt:lpstr>Program Data</vt:lpstr>
      <vt:lpstr>'Arranged Comps'!Print_Area</vt:lpstr>
      <vt:lpstr>'Arranged Comps_Clean'!Print_Area</vt:lpstr>
      <vt:lpstr>'Cap Rate Comps'!Print_Area</vt:lpstr>
      <vt:lpstr>'Cap Rate Comps_Clean'!Print_Area</vt:lpstr>
      <vt:lpstr>CEA!Print_Area</vt:lpstr>
      <vt:lpstr>CEA_Clean!Print_Area</vt:lpstr>
      <vt:lpstr>'Comp Map'!Print_Area</vt:lpstr>
      <vt:lpstr>'Comp Map_Clean'!Print_Area</vt:lpstr>
      <vt:lpstr>'Comp Pics'!Print_Area</vt:lpstr>
      <vt:lpstr>'Comp Pics_Clean'!Print_Area</vt:lpstr>
      <vt:lpstr>Cover!Print_Area</vt:lpstr>
      <vt:lpstr>'Cover Transfer'!Print_Area</vt:lpstr>
      <vt:lpstr>'Cover Transfer_Clean'!Print_Area</vt:lpstr>
      <vt:lpstr>Cover_Clean!Print_Area</vt:lpstr>
      <vt:lpstr>'Direct Cap Abrv.'!Print_Area</vt:lpstr>
      <vt:lpstr>'Direct Cap Abrv._Clean'!Print_Area</vt:lpstr>
      <vt:lpstr>'Direct Cap Actual'!Print_Area</vt:lpstr>
      <vt:lpstr>'Direct Cap Actual_Clean'!Print_Area</vt:lpstr>
      <vt:lpstr>'Extra Page'!Print_Area</vt:lpstr>
      <vt:lpstr>'Extra Page (10)'!Print_Area</vt:lpstr>
      <vt:lpstr>'Extra Page (11)'!Print_Area</vt:lpstr>
      <vt:lpstr>'Extra Page (12)'!Print_Area</vt:lpstr>
      <vt:lpstr>'Extra Page (2)'!Print_Area</vt:lpstr>
      <vt:lpstr>'Extra Page (2)_Clean'!Print_Area</vt:lpstr>
      <vt:lpstr>'Extra Page (3)'!Print_Area</vt:lpstr>
      <vt:lpstr>'Extra Page (3)_Clean'!Print_Area</vt:lpstr>
      <vt:lpstr>'Extra Page (4)'!Print_Area</vt:lpstr>
      <vt:lpstr>'Extra Page (4)_Clean'!Print_Area</vt:lpstr>
      <vt:lpstr>'Extra Page (5)'!Print_Area</vt:lpstr>
      <vt:lpstr>'Extra Page (5)_Clean'!Print_Area</vt:lpstr>
      <vt:lpstr>'Extra Page (6)'!Print_Area</vt:lpstr>
      <vt:lpstr>'Extra Page (7)'!Print_Area</vt:lpstr>
      <vt:lpstr>'Extra Page (8)'!Print_Area</vt:lpstr>
      <vt:lpstr>'Extra Page (9)'!Print_Area</vt:lpstr>
      <vt:lpstr>'Extra Page_Clean'!Print_Area</vt:lpstr>
      <vt:lpstr>'Land Grid'!Print_Area</vt:lpstr>
      <vt:lpstr>'Land Grid_Clean'!Print_Area</vt:lpstr>
      <vt:lpstr>'Land Narrative'!Print_Area</vt:lpstr>
      <vt:lpstr>'Land Narrative_Clean'!Print_Area</vt:lpstr>
      <vt:lpstr>'Lease Comps'!Print_Area</vt:lpstr>
      <vt:lpstr>'Lease Comps (2)'!Print_Area</vt:lpstr>
      <vt:lpstr>'Lease Comps_Clean'!Print_Area</vt:lpstr>
      <vt:lpstr>'Lease Up'!Print_Area</vt:lpstr>
      <vt:lpstr>Narrative!Print_Area</vt:lpstr>
      <vt:lpstr>Narrative_Clean!Print_Area</vt:lpstr>
      <vt:lpstr>'Proposed Stip Cover'!Print_Area</vt:lpstr>
      <vt:lpstr>'Proposed Stip Cover_Clean'!Print_Area</vt:lpstr>
      <vt:lpstr>'Sales Grid'!Print_Area</vt:lpstr>
      <vt:lpstr>'Sales Grid_Clean'!Print_Area</vt:lpstr>
      <vt:lpstr>'Subj Pics'!Print_Area</vt:lpstr>
      <vt:lpstr>'Subj Pics_Clean'!Print_Area</vt:lpstr>
      <vt:lpstr>'Land Grid_Clean'!printarea</vt:lpstr>
      <vt:lpstr>printarea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Edmonds, Kyle</dc:creator>
  <cp:lastModifiedBy>Edmonds, Kyle</cp:lastModifiedBy>
  <cp:lastPrinted>2026-07-29T18:06:08Z</cp:lastPrinted>
  <dcterms:created xsi:type="dcterms:W3CDTF">2020-02-11T16:19:49Z</dcterms:created>
  <dcterms:modified xsi:type="dcterms:W3CDTF">2026-07-29T18:13:23Z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Copycomps_1" visible="true" label="Arrange Comps" imageMso="SmartArtLayoutGallery" onAction="Copycomps"/>
        <mso:button idQ="doc:ClearCompsArrangeComps_1" visible="true" label="Clear Comps" imageMso="CancelRequest" onAction="ClearCompsArrangeComps"/>
      </mso:documentControls>
    </mso:qat>
  </mso:ribbon>
</mso:customUI>
</file>